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codeName="ThisWorkbook"/>
  <mc:AlternateContent xmlns:mc="http://schemas.openxmlformats.org/markup-compatibility/2006">
    <mc:Choice Requires="x15">
      <x15ac:absPath xmlns:x15ac="http://schemas.microsoft.com/office/spreadsheetml/2010/11/ac" url="C:\Users\Peter Lynch\Dropbox\Peter\ASM Website\4 LBO\"/>
    </mc:Choice>
  </mc:AlternateContent>
  <xr:revisionPtr revIDLastSave="0" documentId="13_ncr:1_{BDC06F6E-84BB-40CC-A7BB-A5D2C0A6B55B}" xr6:coauthVersionLast="43" xr6:coauthVersionMax="43" xr10:uidLastSave="{00000000-0000-0000-0000-000000000000}"/>
  <bookViews>
    <workbookView xWindow="-98" yWindow="-98" windowWidth="33946" windowHeight="22096" tabRatio="894" xr2:uid="{00000000-000D-0000-FFFF-FFFF00000000}"/>
  </bookViews>
  <sheets>
    <sheet name="ToC" sheetId="36" r:id="rId1"/>
    <sheet name="80_20" sheetId="31" r:id="rId2"/>
    <sheet name="20% &amp; 80_20" sheetId="33" r:id="rId3"/>
    <sheet name="20% After Principal &amp; 80_20" sheetId="34" r:id="rId4"/>
    <sheet name="IRR Hurdles" sheetId="30" r:id="rId5"/>
    <sheet name="RE Waterfall" sheetId="35" r:id="rId6"/>
    <sheet name="Formula Explanation" sheetId="37" r:id="rId7"/>
  </sheets>
  <definedNames>
    <definedName name="CIQWBGuid" hidden="1">"cbeeede9-6f2c-4268-bbc1-e96b1a38e936"</definedName>
    <definedName name="ExactAddinConnection" hidden="1">"001"</definedName>
    <definedName name="ExactAddinConnection.001" hidden="1">"catfish;001;rick_tellez;1"</definedName>
    <definedName name="IQ_0_PCT_RISK_WEIGHT_TOTAL_THRIFT" hidden="1">"c25055"</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 hidden="1">"c25073"</definedName>
    <definedName name="IQ_20_PCT_RISK_WEIGHT_TOTAL_THRIFT" hidden="1">"c25062"</definedName>
    <definedName name="IQ_50_PCT_RISK_WEIGHT_TOTAL_THRIFT" hidden="1">"c25069"</definedName>
    <definedName name="IQ_ABS_AFS_AMORT_COST_FFIEC" hidden="1">"c20499"</definedName>
    <definedName name="IQ_ABS_AFS_FAIR_VAL_FFIEC" hidden="1">"c20464"</definedName>
    <definedName name="IQ_ABS_HTM_AMORT_COST_FFIEC" hidden="1">"c20447"</definedName>
    <definedName name="IQ_ABS_HTM_FAIR_VAL_FFIEC" hidden="1">"c20482"</definedName>
    <definedName name="IQ_ACCOUNTS_PAYABLE_THRIFT" hidden="1">"c24910"</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MORTGAGE_INT_RECEIVABLE_THRIFT" hidden="1">"c24849"</definedName>
    <definedName name="IQ_ACCRUED_NON_MORTGAGE_INT_RECEIVABLE_THRIFT" hidden="1">"c24866"</definedName>
    <definedName name="IQ_ACCRUED_TAXES_THRIFT" hidden="1">"c24909"</definedName>
    <definedName name="IQ_ACCUM_AMORT_GW" hidden="1">"c17749"</definedName>
    <definedName name="IQ_ACCUM_AMORT_INTAN_ASSETS" hidden="1">"c17747"</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QUIRED_BY_REPORTING_BANK_FDIC" hidden="1">"c6535"</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DIN" hidden="1">"AUTO"</definedName>
    <definedName name="IQ_ADDITIONAL_NON_INT_INC_FDIC" hidden="1">"c6574"</definedName>
    <definedName name="IQ_ADJUSTABLE_RATE_LOANS_FDIC" hidden="1">"c6375"</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VANCES_FROM_FHLB_THRIFT" hidden="1">"c24900"</definedName>
    <definedName name="IQ_ADVANCES_TAXES_INSURANCE_THRIFT" hidden="1">"c24850"</definedName>
    <definedName name="IQ_AE_CM" hidden="1">"c10"</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TER_TAX_INCOME_FDIC" hidden="1">"c6583"</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FAMILY_OVER_TOTAL" hidden="1">"c24687"</definedName>
    <definedName name="IQ_AGG_FAMILY_SHARES" hidden="1">"c24689"</definedName>
    <definedName name="IQ_AGG_FAMILY_VALUE" hidden="1">"c24688"</definedName>
    <definedName name="IQ_AGG_HEDGEFUND_OVER_TOTAL" hidden="1">"c13771"</definedName>
    <definedName name="IQ_AGG_INSIDER_OVER_TOTAL" hidden="1">"c1581"</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IRCRAFT_RENT" hidden="1">"c17872"</definedName>
    <definedName name="IQ_ALL_OTHER_ASSETS_ELIGIBLE_100_PCT_RISK_WEIGHT_THRIFT" hidden="1">"c25072"</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LOANS_EXCL_CONSUMER_LL_REC_DOM_FFIEC" hidden="1">"c25857"</definedName>
    <definedName name="IQ_ALL_OTHER_LOANS_EXCL_CONSUMER_LL_REC_FFIEC" hidden="1">"c25853"</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MORTGAGE_LL_LOSSES_THRIFT" hidden="1">"c24851"</definedName>
    <definedName name="IQ_ALLOW_NON_MORTGAGE_LOAN_LL_THRIFT" hidden="1">"c24867"</definedName>
    <definedName name="IQ_ALLOWABLE_TIER_2_CAPITAL_T2_THRIFT" hidden="1">"c25046"</definedName>
    <definedName name="IQ_ALLOWANCE_AMT_INCLUDED_IN_ALLOWANCE_LOAN_LEASE_LOSSES_PURCHASED_CREDIT_IMPAIRED_LOANS_THRIFT" hidden="1">"c25239"</definedName>
    <definedName name="IQ_ALLOWANCES_LL_LOSSES_T2_THRIFT" hidden="1">"c25043"</definedName>
    <definedName name="IQ_ALPHA_SCORE_DATE" hidden="1">"c25923"</definedName>
    <definedName name="IQ_AMENDED_BALANCE_PREVIOUS_YR_FDIC" hidden="1">"c6499"</definedName>
    <definedName name="IQ_AMORT_EXPENSE_FDIC" hidden="1">"c6677"</definedName>
    <definedName name="IQ_AMORT_LOAN_SERVICING_ASSETS_LIABILITIES_THRIFT" hidden="1">"c24767"</definedName>
    <definedName name="IQ_AMORTIZED_COST_FDIC" hidden="1">"c6426"</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OCI_THRIFT" hidden="1">"c24920"</definedName>
    <definedName name="IQ_AP_CM" hidden="1">"c34"</definedName>
    <definedName name="IQ_APIC_THRIFT" hidden="1">"c24918"</definedName>
    <definedName name="IQ_APPLICABLE_INCOME_TAXES_AVG_ASSETS_THRIFT" hidden="1">"c25657"</definedName>
    <definedName name="IQ_AR_CM" hidden="1">"c41"</definedName>
    <definedName name="IQ_ASSET_BACKED_FDIC" hidden="1">"c6301"</definedName>
    <definedName name="IQ_ASSET_BACKED_SEC_INV_SEC_THRIFT" hidden="1">"c25674"</definedName>
    <definedName name="IQ_ASSET_MANAGED_GROWTH_RATE" hidden="1">"c20434"</definedName>
    <definedName name="IQ_ASSET_WRITEDOWN_CF_CM" hidden="1">"c53"</definedName>
    <definedName name="IQ_ASSET_WRITEDOWN_CM" hidden="1">"c50"</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HELD_FDIC" hidden="1">"c6305"</definedName>
    <definedName name="IQ_ASSETS_HFS_THRIFT" hidden="1">"c24934"</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ON_INCLUDABLE_SUBS_ADJUSTED_ASSETS_THRIFT" hidden="1">"c25031"</definedName>
    <definedName name="IQ_ASSETS_PER_EMPLOYEE_FDIC" hidden="1">"c6737"</definedName>
    <definedName name="IQ_ASSETS_PER_EMPLOYEE_THRIFT" hidden="1">"c25783"</definedName>
    <definedName name="IQ_ASSETS_RISK_WEIGHT_THRIFT" hidden="1">"c25076"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FEE_EARNING" hidden="1">"c20402"</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NET_CHANGE" hidden="1">"c20419"</definedName>
    <definedName name="IQ_AUM_NET_INFLOWS_OUTFLOWS" hidden="1">"c20412"</definedName>
    <definedName name="IQ_AUM_NON_FEE_EARNING" hidden="1">"c20403"</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INT_BEARING_FUNDS_AVG_ASSETS_THRIFT" hidden="1">"c25646"</definedName>
    <definedName name="IQ_AVG_MARKETCAP_Z" hidden="1">"c25900"</definedName>
    <definedName name="IQ_AVG_MORTGAGE_LOANS_MBS_THRIFT" hidden="1">"c24948"</definedName>
    <definedName name="IQ_AVG_NON_MORTGAGE_LOANS_THRIFT" hidden="1">"c24949"</definedName>
    <definedName name="IQ_AVG_PORTFOLIO_DURATION" hidden="1">"c17693"</definedName>
    <definedName name="IQ_AVG_REV_PER_TRADE" hidden="1">"c20431"</definedName>
    <definedName name="IQ_AVG_TOTAL_ASSETS_THRIFT" hidden="1">"c24946"</definedName>
    <definedName name="IQ_AVG_TOTAL_BORROWINGS_THRIFT" hidden="1">"c24951"</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OWNED_LIFE_INSURANCE_THRIFT" hidden="1">"c24884"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ROKERED_DEPOSITS_FDIC" hidden="1">"c6486"</definedName>
    <definedName name="IQ_CAPEX_CM" hidden="1">"c111"</definedName>
    <definedName name="IQ_CAPITAL_CONTRIBUTIONS_SAVINGS_ASSOCIATION_THRIFT" hidden="1">"c25014"</definedName>
    <definedName name="IQ_CAPITALIZED_INT_THRIFT" hidden="1">"c24763"</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_DIVIDENDS_NET_INCOME_FDIC" hidden="1">"c6738"</definedName>
    <definedName name="IQ_CASH_DIVIDENDS_NET_INCOME_THRIFT" hidden="1">"c25634"</definedName>
    <definedName name="IQ_CASH_ELIGIBLE_0_PCT_RISK_WEIGHT_THRIFT" hidden="1">"c25051"</definedName>
    <definedName name="IQ_CASH_FLOW_AP" hidden="1">"c25889"</definedName>
    <definedName name="IQ_CASH_FLOW_AP_CO" hidden="1">"c25890"</definedName>
    <definedName name="IQ_CASH_FLOW_INDUSTRY" hidden="1">"c25885"</definedName>
    <definedName name="IQ_CASH_FLOW_INDUSTRY_CO" hidden="1">"c25886"</definedName>
    <definedName name="IQ_CASH_FLOW_STANDARD" hidden="1">"c25887"</definedName>
    <definedName name="IQ_CASH_FLOW_STANDARD_CO" hidden="1">"c25888"</definedName>
    <definedName name="IQ_CASH_IN_PROCESS_FDIC" hidden="1">"c6386"</definedName>
    <definedName name="IQ_CASH_NON_INT_EARNING_DEPOSITS_THRIFT" hidden="1">"c24818"</definedName>
    <definedName name="IQ_CASH_STRUCTURED_PRODUCTS_AFS_AMORT_COST_FFIEC" hidden="1">"c20500"</definedName>
    <definedName name="IQ_CASH_STRUCTURED_PRODUCTS_AFS_FAIR_VAL_FFIEC" hidden="1">"c20465"</definedName>
    <definedName name="IQ_CASH_STRUCTURED_PRODUCTS_HTM_AMORT_COST_FFIEC" hidden="1">"c20448"</definedName>
    <definedName name="IQ_CASH_STRUCTURED_PRODUCTS_HTM_FAIR_VAL_FFIEC" hidden="1">"c20483"</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CE_FDIC" hidden="1">"c6296"</definedName>
    <definedName name="IQ_CH" hidden="1">110000</definedName>
    <definedName name="IQ_CHANGE_AP_CM" hidden="1">"c135"</definedName>
    <definedName name="IQ_CHANGE_AR_CM" hidden="1">"c142"</definedName>
    <definedName name="IQ_CHANGE_OTHER_NET_OPER_ASSETS_CM" hidden="1">"c3595"</definedName>
    <definedName name="IQ_CHANGE_OTHER_WORK_CAP_CM"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VA_THRIFT" hidden="1">"c25096"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SVA_THRIFT" hidden="1">"c25103"</definedName>
    <definedName name="IQ_CHARGE_OFFS_TVA_THRIFT" hidden="1">"c25110"</definedName>
    <definedName name="IQ_CIK" hidden="1">"c20384"</definedName>
    <definedName name="IQ_CIP" hidden="1">"c17551"</definedName>
    <definedName name="IQ_CLAIMS_DOMESTIC_DEPOSITORY_INSTITUTIONS_ELIGIBLE_20_PCT_RISK_WEIGHT_THRIFT" hidden="1">"c25060"</definedName>
    <definedName name="IQ_CLAIMS_FHLBS_ELIGIBLE_20_PCT_RISK_WEIGHT_THRIFT" hidden="1">"c25058"</definedName>
    <definedName name="IQ_CLOSED_END_1_4_FAMILY_LOANS_TOTAL_LOANS_THRIFT" hidden="1">"c25742"</definedName>
    <definedName name="IQ_CLOSED_END_LOANS_GROSS_LOANS_THRIFT" hidden="1">"c25724"</definedName>
    <definedName name="IQ_CLOSED_END_LOANS_RISK_BASED_CAPITAL_THRIFT" hidden="1">"c25709"</definedName>
    <definedName name="IQ_CLOSED_PURCHASED_COMM_NON_MORTGAGE_LOANS_THRIFT" hidden="1">"c25339"</definedName>
    <definedName name="IQ_CLOSED_PURCHASED_CONSUMER_NON_MORTGAGE_LOANS_THRIFT" hidden="1">"c25341"</definedName>
    <definedName name="IQ_CMBS_ISSUED_AFS_AMORT_COST_FFIEC" hidden="1">"c20497"</definedName>
    <definedName name="IQ_CMBS_ISSUED_AFS_FAIR_VAL_FFIEC" hidden="1">"c20462"</definedName>
    <definedName name="IQ_CMBS_ISSUED_HTM_AMORT_COST_FFIEC" hidden="1">"c20445"</definedName>
    <definedName name="IQ_CMBS_ISSUED_HTM_FAIR_VAL_FFIEC" hidden="1">"c20480"</definedName>
    <definedName name="IQ_CMO_FDIC" hidden="1">"c6406"</definedName>
    <definedName name="IQ_CMO_THRIFT" hidden="1">"c24903"</definedName>
    <definedName name="IQ_COLLATERALIZED_MBS_ISSUED_GUARANTEED_FNMA_FHLMC_GNMA_THRIFT" hidden="1">"c24834"</definedName>
    <definedName name="IQ_COLLECTION_DOMESTIC_FDIC" hidden="1">"c6387"</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IDENTIAL_TOTAL_LOANS_THRIFT" hidden="1">"c25746"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_UNUSED_FFIEC" hidden="1">"c25859"</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CM" hidden="1">"c185"</definedName>
    <definedName name="IQ_COMMON_FDIC" hidden="1">"c6350"</definedName>
    <definedName name="IQ_COMMON_ISSUED_CM" hidden="1">"c199"</definedName>
    <definedName name="IQ_COMMON_REP_CM" hidden="1">"c208"</definedName>
    <definedName name="IQ_COMMON_STOCK_DIVIDENDS_DECLARED_SAVINGS_ASSOCIATION_THRIFT" hidden="1">"c25011"</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ANY_ID_QUICK_MATCH" hidden="1">"c16227"</definedName>
    <definedName name="IQ_COMPANY_MAIN_FAX" hidden="1">"c18016"</definedName>
    <definedName name="IQ_COMPANY_NAME_QUICK_MATCH" hidden="1">"c16228"</definedName>
    <definedName name="IQ_CONSTITUENTS_NAME" hidden="1">"c19192"</definedName>
    <definedName name="IQ_CONSTRUCTION_1_4_DWELLING_UNITS_THRIFT" hidden="1">"c24839"</definedName>
    <definedName name="IQ_CONSTRUCTION_DEV_LOANS_FDIC" hidden="1">"c6313"</definedName>
    <definedName name="IQ_CONSTRUCTION_LAND_DEVELOPMENT_CHARGE_OFFS_FDIC" hidden="1">"c6594"</definedName>
    <definedName name="IQ_CONSTRUCTION_LAND_DEVELOPMENT_LOANS_TOTAL_LOANS_THRIFT" hidden="1">"c25744"</definedName>
    <definedName name="IQ_CONSTRUCTION_LAND_DEVELOPMENT_NET_CHARGE_OFFS_FDIC" hidden="1">"c6632"</definedName>
    <definedName name="IQ_CONSTRUCTION_LAND_DEVELOPMENT_RECOVERIES_FDIC" hidden="1">"c6613"</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L_REC_FFIEC" hidden="1">"c25869"</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NON_ACCRUAL_FFIEC" hidden="1">"c25831"</definedName>
    <definedName name="IQ_CONSUMER_LOANS_RECOV_FFIEC" hidden="1">"c25839"</definedName>
    <definedName name="IQ_CONSUMER_LOANS_THRIFT" hidden="1">"c24858"</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TINGENT_ASSETS_THRIFT" hidden="1">"c25622"</definedName>
    <definedName name="IQ_CONTINGENT_RENTAL" hidden="1">"c17746"</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E_DEPOSITS_THRIFT" hidden="1">"c25089"</definedName>
    <definedName name="IQ_CORE_DEPOSITS_TOTAL_ASSETS_THRIFT" hidden="1">"c25699"</definedName>
    <definedName name="IQ_CORE_DEPOSITS_TOTAL_DEPOSITS_THRIFT" hidden="1">"c25782"</definedName>
    <definedName name="IQ_CORP_PROFIT" hidden="1">"c20636"</definedName>
    <definedName name="IQ_CORP_PROFITS_AFTER_TAXES" hidden="1">"c20637"</definedName>
    <definedName name="IQ_CORP_PROFITS_TAXES" hidden="1">"c20638"</definedName>
    <definedName name="IQ_CORPORATE_MUNICIPAL_TRUSTEESHIPS_NUMBER_ISSUES_THRIFT" hidden="1">"c25441"</definedName>
    <definedName name="IQ_CORPORATE_MUNICIPAL_TRUSTEESHIPS_PRINCIPAL_AMT_OUTSTANDING_THRIFT" hidden="1">"c25440"</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FED_FUNDS_PURCHASED_THRIFT" hidden="1">"c25681"</definedName>
    <definedName name="IQ_COST_INT_BEARING_DEPOSITS_THRIFT" hidden="1">"c25680"</definedName>
    <definedName name="IQ_COST_OF_FUNDING_ASSETS_FDIC" hidden="1">"c6725"</definedName>
    <definedName name="IQ_COST_OTHER_BORROWED_FUNDS_THRIFT" hidden="1">"c25682"</definedName>
    <definedName name="IQ_CPI_YOY_PCT" hidden="1">"c20639"</definedName>
    <definedName name="IQ_CPI_YOY_PCT_FC" hidden="1">"c20640"</definedName>
    <definedName name="IQ_CQ" hidden="1">5000</definedName>
    <definedName name="IQ_CREDIT_CARD_CHARGE_OFFS_FDIC" hidden="1">"c6652"</definedName>
    <definedName name="IQ_CREDIT_CARD_CHARGE_OFFS_RELATED_ACCRUED_INTEREST_THRIFT" hidden="1">"c25228"</definedName>
    <definedName name="IQ_CREDIT_CARD_LINES_FDIC" hidden="1">"c6525"</definedName>
    <definedName name="IQ_CREDIT_CARD_LOANS_FDIC" hidden="1">"c6319"</definedName>
    <definedName name="IQ_CREDIT_CARD_LOANS_GROSS_LOANS_THRIFT" hidden="1">"c25734"</definedName>
    <definedName name="IQ_CREDIT_CARD_LOANS_OUTSTANDING_BUS_NON_MORTGAGE_COMM_LOANS_THRIFT" hidden="1">"c24856"</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NET_CHARGE_OFFS_FDIC" hidden="1">"c6654"</definedName>
    <definedName name="IQ_CREDIT_CARD_RECOVERIES_FDIC" hidden="1">"c6653"</definedName>
    <definedName name="IQ_CREDIT_CARD_RELATED_LL_REC_FFIEC" hidden="1">"c25870"</definedName>
    <definedName name="IQ_CREDIT_CARDS_CONSUMER_OPEN_END_LINES_CREDIT_THRIFT" hidden="1">"c25609"</definedName>
    <definedName name="IQ_CREDIT_CARDS_OTHER_OPEN_END_LINES_CREDIT_THRIFT" hidden="1">"c25610"</definedName>
    <definedName name="IQ_CREDIT_CARDS_THRIFT" hidden="1">"c24864"</definedName>
    <definedName name="IQ_CREDIT_LOSS_PROVISION_NET_CHARGE_OFFS_FDIC" hidden="1">"c6734"</definedName>
    <definedName name="IQ_CUM_EFFECT_CHANGE_ACCOUNTING_FFIEC" hidden="1">"c25849"</definedName>
    <definedName name="IQ_CUMULATIVE_PREF_THRIFT" hidden="1">"c24915"</definedName>
    <definedName name="IQ_CURR_ACCT_BALANCE" hidden="1">"c20641"</definedName>
    <definedName name="IQ_CURR_ACCT_BALANCE_PCT_GDP" hidden="1">"c20642"</definedName>
    <definedName name="IQ_CURRENCY_COIN_DOMESTIC_FDIC" hidden="1">"c6388"</definedName>
    <definedName name="IQ_CURRENCY_GAIN_CM" hidden="1">"c236"</definedName>
    <definedName name="IQ_CURRENT_PORT_DEBT_CM" hidden="1">"c1567"</definedName>
    <definedName name="IQ_CURRENT_PORT_DEBT_DERIVATIVES" hidden="1">"c17742"</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Y" hidden="1">10000</definedName>
    <definedName name="IQ_DA_CF_CM" hidden="1">"c251"</definedName>
    <definedName name="IQ_DA_CM" hidden="1">"c248"</definedName>
    <definedName name="IQ_DA_SUPPL_CF_CM" hidden="1">"c263"</definedName>
    <definedName name="IQ_DA_SUPPL_CM" hidden="1">"c260"</definedName>
    <definedName name="IQ_DAILY" hidden="1">500000</definedName>
    <definedName name="IQ_DART" hidden="1">"c20427"</definedName>
    <definedName name="IQ_DATA_SET" hidden="1">"c19244"</definedName>
    <definedName name="IQ_DEBT_SECURITIES_LESS_THAN_1YR_INV_SEC_THRIFT" hidden="1">"c25676"</definedName>
    <definedName name="IQ_DEBT_SECURITIES_OVER_1YR_INV_SEC_THRIFT" hidden="1">"c25677"</definedName>
    <definedName name="IQ_DEDUCTION_EQUITY_INV_OTHER_ASSETS_THRIFT" hidden="1">"c25047"</definedName>
    <definedName name="IQ_DEDUCTION_LOW_LEVEL_RECOURSE_RESIDUAL_INTERESTS_THRIFT" hidden="1">"c25048"</definedName>
    <definedName name="IQ_DEF_AMORT_CM" hidden="1">"c278"</definedName>
    <definedName name="IQ_DEF_CHARGES_CM" hidden="1">"c288"</definedName>
    <definedName name="IQ_DEF_CHARGES_LT_CM" hidden="1">"c294"</definedName>
    <definedName name="IQ_DEF_TAX_ASSET_LT_CM" hidden="1">"c304"</definedName>
    <definedName name="IQ_DEF_TAX_LIAB_LT_CM" hidden="1">"c315"</definedName>
    <definedName name="IQ_DEFERRED_INCOME_TAXES_THRIFT" hidden="1">"c24911"</definedName>
    <definedName name="IQ_DEMAND_DEPOSITS_CONSOLIDATED_SUBSIDIARIES_THRIFT" hidden="1">"c25570"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ACQUIRED_NET_DISPOSITIONS_IN_BULK_TRANSACTIONS_THRIFT" hidden="1">"c25345"</definedName>
    <definedName name="IQ_DEPOSITS_AMOUNTS_NETTED_THRIFT" hidden="1">"c25534"</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HELD_DOMESTIC_FDIC" hidden="1">"c6340"</definedName>
    <definedName name="IQ_DEPOSITS_HELD_FOREIGN_FDIC" hidden="1">"c6341"</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THRIFT" hidden="1">"c25530"</definedName>
    <definedName name="IQ_DEPOSITS_LEVEL_2_THRIFT" hidden="1">"c25531"</definedName>
    <definedName name="IQ_DEPOSITS_LEVEL_3_THRIFT" hidden="1">"c25532"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 hidden="1">"c24896"</definedName>
    <definedName name="IQ_DEPOSITS_TOTAL_AFTER_NETTING_THRIFT" hidden="1">"c25535"</definedName>
    <definedName name="IQ_DEPOSITS_TOTAL_BEFORE_NETTING_THRIFT" hidden="1">"c25533"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LEVEL_1_THRIFT" hidden="1">"c25506"</definedName>
    <definedName name="IQ_DERIVATIVE_ASSETS_LEVEL_2_THRIFT" hidden="1">"c25507"</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LEVEL_1_THRIFT" hidden="1">"c25548"</definedName>
    <definedName name="IQ_DERIVATIVE_LIABILITIES_LEVEL_2_THRIFT" hidden="1">"c25549"</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FDIC" hidden="1">"c6523"</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TRIBUTABLE_CASH_STANDARDIZED" hidden="1">"c20435"</definedName>
    <definedName name="IQ_DIV_AMOUNT_LIST" hidden="1">"c17417"</definedName>
    <definedName name="IQ_DIV_PAYMENT_DATE_LIST" hidden="1">"c17418"</definedName>
    <definedName name="IQ_DIV_PAYMENT_TYPE_LIST" hidden="1">"c17419"</definedName>
    <definedName name="IQ_DIV_RECORD_DATE_LIST" hidden="1">"c17420"</definedName>
    <definedName name="IQ_DIVIDEND_INCOME_FHLB_STOCK_THRIFT" hidden="1">"c24754"</definedName>
    <definedName name="IQ_DIVIDEND_INCOME_OTHER_EQUITY_INV_THRIFT" hidden="1">"c24755"</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_PARENT_EXCL_EXTRA" hidden="1">"c25791"</definedName>
    <definedName name="IQ_EARNINGS_BEFORE_TAXES_AVG_ASSETS_THRIFT" hidden="1">"c25656"</definedName>
    <definedName name="IQ_EARNINGS_CO_THRIFT" hidden="1">"c24796"</definedName>
    <definedName name="IQ_EARNINGS_COVERAGE_NET_CHARGE_OFFS_FDIC" hidden="1">"c6735"</definedName>
    <definedName name="IQ_EARNINGS_COVERAGE_NET_LOSSES_THRIFT" hidden="1">"c25641"</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T_CM" hidden="1">"c378"</definedName>
    <definedName name="IQ_EBT_EXCL_CM" hidden="1">"c381"</definedName>
    <definedName name="IQ_EBT_THRIFT" hidden="1">"c24794"</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DUCATION_LOANS_THRIFT" hidden="1">"c24861"</definedName>
    <definedName name="IQ_EFFICIENCY_RATIO_FDIC" hidden="1">"c6736"</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QUITY_ASKPRICE" hidden="1">"c17798"</definedName>
    <definedName name="IQ_EQUITY_BIDPRICE" hidden="1">"c17797"</definedName>
    <definedName name="IQ_EQUITY_CAPITAL_ASSETS_FDIC" hidden="1">"c6744"</definedName>
    <definedName name="IQ_EQUITY_FDIC" hidden="1">"c6353"</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MIDPRICE" hidden="1">"c17799"</definedName>
    <definedName name="IQ_EQUITY_SEC_FAIR_VALUE_AFS_AMORT_COST_FFIEC" hidden="1">"c20505"</definedName>
    <definedName name="IQ_EQUITY_SEC_FAIR_VALUE_AFS_FAIR_VAL_FFIEC" hidden="1">"c20470"</definedName>
    <definedName name="IQ_EQUITY_SEC_FV_THRIFT" hidden="1">"c24823"</definedName>
    <definedName name="IQ_EQUITY_SECURITIES_FDIC" hidden="1">"c6304"</definedName>
    <definedName name="IQ_EQUITY_SECURITY_EXPOSURES_FDIC" hidden="1">"c6664"</definedName>
    <definedName name="IQ_ESCROWS_THRIFT" hidden="1">"c24897"</definedName>
    <definedName name="IQ_ESTIMATED_ASSESSABLE_DEPOSITS_FDIC" hidden="1">"c6490"</definedName>
    <definedName name="IQ_ESTIMATED_INSURED_DEPOSITS_FDIC" hidden="1">"c6491"</definedName>
    <definedName name="IQ_EXCEL_DATA_METHOD" hidden="1">"c16229"</definedName>
    <definedName name="IQ_EXCESS_ALLOWANCE_LL_LOSSES_THRIFT" hidden="1">"c25078"</definedName>
    <definedName name="IQ_EXPORT_USD" hidden="1">"c20650"</definedName>
    <definedName name="IQ_EXTRA_ACC_ITEMS_CM" hidden="1">"c412"</definedName>
    <definedName name="IQ_EXTRAORDINARY_GAINS_FDIC" hidden="1">"c6586"</definedName>
    <definedName name="IQ_EXTRAORDINARY_ITEMS_AVG_ASSETS_THRIFT" hidden="1">"c25659"</definedName>
    <definedName name="IQ_EXTRAORDINARY_ITEMS_THRIFT" hidden="1">"c24797"</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_INFLOWS" hidden="1">"c20651"</definedName>
    <definedName name="IQ_FDI_NET" hidden="1">"c20652"</definedName>
    <definedName name="IQ_FDI_OUTFLOWS" hidden="1">"c20653"</definedName>
    <definedName name="IQ_FDIC_CERT_NUMBER_FFIEC" hidden="1">"c20507"</definedName>
    <definedName name="IQ_FED_FUND_PURCHASED_SEC_SOLD_REPURCHASE_THRIFT" hidden="1">"c24901"</definedName>
    <definedName name="IQ_FED_FUND_SOLD_SEC_PURCHASED_RESELL_THRIFT" hidden="1">"c24821"</definedName>
    <definedName name="IQ_FED_FUNDS_PURCHASED_FDIC" hidden="1">"c6343"</definedName>
    <definedName name="IQ_FED_FUNDS_PURCHASED_REPOS_TOTAL_ASSETS_THRIFT" hidden="1">"c25702"</definedName>
    <definedName name="IQ_FED_FUNDS_SOLD_FDIC" hidden="1">"c6307"</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E_INCOME_COMM_LOANS_THRIFT" hidden="1">"c24751"</definedName>
    <definedName name="IQ_FEE_INCOME_CONSUMER_LOANS_THRIFT" hidden="1">"c24752"</definedName>
    <definedName name="IQ_FEE_INCOME_MORTGAGE_LOANS_THRIFT" hidden="1">"c24750"</definedName>
    <definedName name="IQ_FH" hidden="1">100000</definedName>
    <definedName name="IQ_FHLB_ADVANCES_FDIC" hidden="1">"c6366"</definedName>
    <definedName name="IQ_FHLB_STOCK_NOT_CARRIED_FV_THRIFT" hidden="1">"c24880"</definedName>
    <definedName name="IQ_FIDUCIARY_ACTIVITIES_FDIC" hidden="1">"c6571"</definedName>
    <definedName name="IQ_FIDUCIARY_ACTIVITIES_INCOME_ADJUSTED_OPERATING_INCOME_THRIFT" hidden="1">"c25689"</definedName>
    <definedName name="IQ_FIDUCIARY_MANAGED_ASSETS_THRIFT" hidden="1">"c25438"</definedName>
    <definedName name="IQ_FIDUCIARY_RELATED_SERVICES_EXP_THRIFT" hidden="1">"c24812"</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N_ARCHITECTURE" hidden="1">"c20386"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MINORITY_INT_REDEEM" hidden="1">"c25788"</definedName>
    <definedName name="IQ_FIN_DIV_MINORITY_INTEREST" hidden="1">"c25790"</definedName>
    <definedName name="IQ_FIN_DIV_NOTES_PAY_TOTAL" hidden="1">"c5522"</definedName>
    <definedName name="IQ_FIN_INST_UNUSED_FFIEC" hidden="1">"c25860"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SCAL_BALANCE_PCT_GDP" hidden="1">"c20654"</definedName>
    <definedName name="IQ_FISCAL_YEAR_END_THRIFT" hidden="1">"c25020"</definedName>
    <definedName name="IQ_FIVE_YEAR_FIXED_AND_FLOATING_RATE_FDIC" hidden="1">"c6422"</definedName>
    <definedName name="IQ_FIVE_YEAR_MORTGAGE_PASS_THROUGHS_FDIC" hidden="1">"c6414"</definedName>
    <definedName name="IQ_FIXED_RATE_DEBT" hidden="1">"c17894"</definedName>
    <definedName name="IQ_FIXED_RATE_DEBT_PCT" hidden="1">"c18008"</definedName>
    <definedName name="IQ_FLOAT" hidden="1">"c17421"</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ULLY_INSURED_BROKERED_TIME_DEPOSITS_THRIFT" hidden="1">"c25005"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GEOGRAPHIC_MANDATE" hidden="1">"c19195"</definedName>
    <definedName name="IQ_FUND_MARKET_CAP_EMPHASIS" hidden="1">"c19197"</definedName>
    <definedName name="IQ_FUND_SECTOR_EMPHASIS" hidden="1">"c19196"</definedName>
    <definedName name="IQ_FUND_VEHICLE_TYPE" hidden="1">"c19194"</definedName>
    <definedName name="IQ_FUTURES_CONTRACT_LIST" hidden="1">"c17682"</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AP_COMBINED_RATIO" hidden="1">"c2781"</definedName>
    <definedName name="IQ_GAAP_COMBINED_RATIO_EXCL_CL" hidden="1">"c2782"</definedName>
    <definedName name="IQ_GAAP_EXPENSE_RATIO" hidden="1">"c2780"</definedName>
    <definedName name="IQ_GAAP_LOSS" hidden="1">"c2779"</definedName>
    <definedName name="IQ_GAIN_ASSETS_CF_CM" hidden="1">"c457"</definedName>
    <definedName name="IQ_GAIN_ASSETS_CM" hidden="1">"c454"</definedName>
    <definedName name="IQ_GAIN_ASSETS_REV_CM" hidden="1">"c474"</definedName>
    <definedName name="IQ_GAIN_INVEST_CF_CM" hidden="1">"c482"</definedName>
    <definedName name="IQ_GAIN_INVEST_CM" hidden="1">"c1464"</definedName>
    <definedName name="IQ_GAIN_INVEST_REV_CM" hidden="1">"c496"</definedName>
    <definedName name="IQ_GAIN_SALE_LOANS_FDIC" hidden="1">"c6673"</definedName>
    <definedName name="IQ_GAIN_SALE_RE_FDIC" hidden="1">"c6674"</definedName>
    <definedName name="IQ_GAINS_BARGAIN_PURCHASES_FFIEC" hidden="1">"c25844"</definedName>
    <definedName name="IQ_GAINS_SALE_ASSETS_FDIC" hidden="1">"c6675"</definedName>
    <definedName name="IQ_GAINS_SEC_AVAILABLE_SALE_AVG_ASSETS_THRIFT" hidden="1">"c25655"</definedName>
    <definedName name="IQ_GAINS_SEC_HELD_MATURITY_AVG_ASSETS_THRIFT" hidden="1">"c25654"</definedName>
    <definedName name="IQ_GENERAL_OBLIGATIONS_STATE_LOCAL_GOVERNMENTS_ELIGIBLE_20_PCT_RISK_WEIGHT_THRIFT" hidden="1">"c25059"</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INTANGIBLE_ASSETS_THRIFT" hidden="1">"c24887"</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TRANSFER" hidden="1">"c20729"</definedName>
    <definedName name="IQ_GOVT_RECEIPTS_TRANSFER_BUSINESS" hidden="1">"c20730"</definedName>
    <definedName name="IQ_GOVT_RECEIPTS_TRANSFER_PERSONAL" hidden="1">"c20731"</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ROSS_GW" hidden="1">"c17750"</definedName>
    <definedName name="IQ_GROSS_INTAN_ASSETS" hidden="1">"c17748"</definedName>
    <definedName name="IQ_GROSS_LOAN_AVG_LOANS_THRIFT" hidden="1">"c25636"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W_AMORT_CM" hidden="1">"c532"</definedName>
    <definedName name="IQ_GW_INTAN_AMORT_CF_CM" hidden="1">"c1473"</definedName>
    <definedName name="IQ_GW_INTAN_AMORT_CM" hidden="1">"c1470"</definedName>
    <definedName name="IQ_HEDGING_ACTIVITIES" hidden="1">"c17899"</definedName>
    <definedName name="IQ_HEDGING_ACTIVITIES_PCT" hidden="1">"c18013"</definedName>
    <definedName name="IQ_HELD_MATURITY_FDIC" hidden="1">"c6408"</definedName>
    <definedName name="IQ_HOLDER_INSTITUTION_TYPE" hidden="1">"c24729"</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EQUITY_LOANS_TOTAL_LOANS_THRIFT" hidden="1">"c25748"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IMPROVEMENT_LOANS_NOT_SECURED_RE_THRIFT" hidden="1">"c24860"</definedName>
    <definedName name="IQ_HOUSING_30YR_MORTGAGE" hidden="1">"c20753"</definedName>
    <definedName name="IQ_HOUSING_COMPLETION" hidden="1">"c20754"</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RENTAL_VACANCY" hidden="1">"c20763"</definedName>
    <definedName name="IQ_HOUSING_START" hidden="1">"c20764"</definedName>
    <definedName name="IQ_HTM_SEC_INV_SEC_THRIFT" hidden="1">"c25669"</definedName>
    <definedName name="IQ_HTM_SEC_TIER_1_CAPITAL_THRIFT" hidden="1">"c25629"</definedName>
    <definedName name="IQ_HYBRID_STRUCTURED_PRODUCTS_AFS_AMORT_COST_FFIEC" hidden="1">"c20502"</definedName>
    <definedName name="IQ_HYBRID_STRUCTURED_PRODUCTS_AFS_FAIR_VAL_FFIEC" hidden="1">"c20467"</definedName>
    <definedName name="IQ_HYBRID_STRUCTURED_PRODUCTS_HTM_AMORT_COST_FFIEC" hidden="1">"c20450"</definedName>
    <definedName name="IQ_HYBRID_STRUCTURED_PRODUCTS_HTM_FAIR_VAL_FFIEC" hidden="1">"c20485"</definedName>
    <definedName name="IQ_IMPAIR_CHARGES_DEBT_EQUITY_SEC_THRIFT" hidden="1">"c24777"</definedName>
    <definedName name="IQ_IMPORTS_USD" hidden="1">"c20765"</definedName>
    <definedName name="IQ_INC_EQUITY_CM" hidden="1">"c550"</definedName>
    <definedName name="IQ_INCIDENTAL_CHANGES_BUSINESS_COMBINATIONS_FDIC" hidden="1">"c6502"</definedName>
    <definedName name="IQ_INCOME_BEFORE_EXTRA_FDIC" hidden="1">"c6585"</definedName>
    <definedName name="IQ_INCOME_BEFORE_EXTRAORDINARY_ITEMS_AVG_ASSETS_THRIFT" hidden="1">"c25658"</definedName>
    <definedName name="IQ_INCOME_EARNED_FDIC" hidden="1">"c6359"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ES_FDIC" hidden="1">"c6582"</definedName>
    <definedName name="IQ_INCOME_TAXES_PRETAX_NET_OPERATING_INCOME_THRIFT" hidden="1">"c25693"</definedName>
    <definedName name="IQ_INCOME_TAXES_THRIFT" hidden="1">"c24795"</definedName>
    <definedName name="IQ_IND_PROD_INDEX_GROWTH" hidden="1">"c20766"</definedName>
    <definedName name="IQ_INDEX_PROVIDED_DIVIDEND" hidden="1">"c19252"</definedName>
    <definedName name="IQ_INDEX_SHARES" hidden="1">"c19193"</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S_SETTLE_CM" hidden="1">"c572"</definedName>
    <definedName name="IQ_INSIDER_LOANS_FDIC" hidden="1">"c6365"</definedName>
    <definedName name="IQ_INSTITUTION_TYPE" hidden="1">"c24730"</definedName>
    <definedName name="IQ_INSTITUTIONS_EARNINGS_GAINS_FDIC" hidden="1">"c6723"</definedName>
    <definedName name="IQ_INSURANCE_COMMISSION_FEES_FDIC" hidden="1">"c6670"</definedName>
    <definedName name="IQ_INSURANCE_UNDERWRITING_INCOME_FDIC" hidden="1">"c6671"</definedName>
    <definedName name="IQ_INSURED_GUARANTEED_AGENCY_US_SPONSORED_ENTERPRISE_THRIFT" hidden="1">"c24830"</definedName>
    <definedName name="IQ_INT_ADVANCES_FHLB_THRIFT" hidden="1">"c24759"</definedName>
    <definedName name="IQ_INT_COMM_LOANS_LEASES_THRIFT" hidden="1">"c24748"</definedName>
    <definedName name="IQ_INT_CONSUMER_LOANS_LEASES_THRIFT" hidden="1">"c24749"</definedName>
    <definedName name="IQ_INT_DEMAND_NOTES_FDIC" hidden="1">"c6567"</definedName>
    <definedName name="IQ_INT_DEPOSITS_INV_SEC_THRIFT" hidden="1">"c24745"</definedName>
    <definedName name="IQ_INT_DEPOSITS_THRIFT" hidden="1">"c24757"</definedName>
    <definedName name="IQ_INT_DOMESTIC_DEPOSITS_FDIC" hidden="1">"c6564"</definedName>
    <definedName name="IQ_INT_EARNING_DEPOSITS_FHLBS_THRIFT" hidden="1">"c24819"</definedName>
    <definedName name="IQ_INT_ESCROWS_THRIFT" hidden="1">"c24758"</definedName>
    <definedName name="IQ_INT_EXP_AVG_ASSETS_THRIFT" hidden="1">"c25648"</definedName>
    <definedName name="IQ_INT_EXP_AVG_EARNING_ASSETS_THRIFT" hidden="1">"c25667"</definedName>
    <definedName name="IQ_INT_EXP_CM" hidden="1">"c586"</definedName>
    <definedName name="IQ_INT_EXP_FULLY_INSURED_BROKERED_DEPOSITS_THRIFT" hidden="1">"c24982"</definedName>
    <definedName name="IQ_INT_EXP_OTHER_BROKERED_DEPOSITS_THRIFT" hidden="1">"c24983"</definedName>
    <definedName name="IQ_INT_EXP_TOTAL_FDIC" hidden="1">"c6569"</definedName>
    <definedName name="IQ_INT_FED_FUNDS_FDIC" hidden="1">"c6566"</definedName>
    <definedName name="IQ_INT_FOREIGN_DEPOSITS_FDIC" hidden="1">"c6565"</definedName>
    <definedName name="IQ_INT_INC_CM"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INCOME_AVG_ASSETS_THRIFT" hidden="1">"c25647"</definedName>
    <definedName name="IQ_INT_INCOME_AVG_EARNING_ASSETS_THRIFT" hidden="1">"c25666"</definedName>
    <definedName name="IQ_INT_MBS_THRIFT" hidden="1">"c24746"</definedName>
    <definedName name="IQ_INT_MORTGAGE_COLLATERALIZED_SEC_THRIFT" hidden="1">"c24761"</definedName>
    <definedName name="IQ_INT_MORTGAGE_LOANS_THRIFT" hidden="1">"c24747"</definedName>
    <definedName name="IQ_INT_ONLY_STRIP_RECEIVABLES_OTHER_INSTRUMENTS_THRIFT" hidden="1">"c24891"</definedName>
    <definedName name="IQ_INT_OTHER_BORROWINGS_THRIFT" hidden="1">"c24762"</definedName>
    <definedName name="IQ_INT_SUB_DEBT_THRIFT" hidden="1">"c24760"</definedName>
    <definedName name="IQ_INT_SUB_NOTES_FDIC" hidden="1">"c6568"</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EREST_BEARING_BALANCES_FDIC" hidden="1">"c6371"</definedName>
    <definedName name="IQ_INTEREST_BEARING_DEPOSITS_ALL_OTHER_ACCOUNTS_THRIFT" hidden="1">"c25424"</definedName>
    <definedName name="IQ_INTEREST_BEARING_DEPOSITS_DOMESTIC_FDIC" hidden="1">"c6478"</definedName>
    <definedName name="IQ_INTEREST_BEARING_DEPOSITS_EMPLOYEE_BENEFIT_RETIREMENT_RELATED_ACCOUNTS_THRIFT" hidden="1">"c25408"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 hidden="1">"c25392"</definedName>
    <definedName name="IQ_INTEREST_CREDITED_DEPOSITS_THRIFT" hidden="1">"c25344"</definedName>
    <definedName name="IQ_INTEREST_RATE_CONTRACTS_FDIC" hidden="1">"c6512"</definedName>
    <definedName name="IQ_INTEREST_RATE_EXPOSURES_FDIC" hidden="1">"c6662"</definedName>
    <definedName name="IQ_INTRACO_INC_CREDITS_FIDUCIARY_RELATED_SERVICES_THRIFT" hidden="1">"c24814"</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GMT_ADVISORY_AGENCY_ACCOUNTS_INC_THRIFT" hidden="1">"c24806"</definedName>
    <definedName name="IQ_INV_NONCONTROLLING_INTERESTS_IN_SUBS_T1_THRIFT" hidden="1">"c25022"</definedName>
    <definedName name="IQ_INV_SEC_TOTAL_ASSETS_THRIFT" hidden="1">"c25697"</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LOANS_CF_CM" hidden="1">"c630"</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SECURITY_CF_CM" hidden="1">"c639"</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OTHER_FEES_FDIC" hidden="1">"c6666"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RA_KEOGH_ACCOUNTS_FDIC" hidden="1">"c6496"</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SUED_GUARANTEED_FNMA_FHLMC_GNMA_THRIFT" hidden="1">"c24833"</definedName>
    <definedName name="IQ_ISSUED_GUARANTEED_US_FDIC" hidden="1">"c6404"</definedName>
    <definedName name="IQ_ISSUES_IN_DEFAULT_PRINCIPAL_AMT_OUTSTANDING_THRIFT" hidden="1">"c25442"</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_LOANS_IN_PROCESS_FORECLOSURE_THRIFT" hidden="1">"c25309"</definedName>
    <definedName name="IQ_LAND_LOANS_TOTAL_LOANS_THRIFT" hidden="1">"c25747"</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THRIFT" hidden="1">"c24857"</definedName>
    <definedName name="IQ_LEASEHOLD_IMPROVEMENT" hidden="1">"c17549"</definedName>
    <definedName name="IQ_LEGAL_EXP_THRIFT" hidden="1">"c24789"</definedName>
    <definedName name="IQ_LEGAL_SETTLE_CM" hidden="1">"c649"</definedName>
    <definedName name="IQ_LETTERS_CREDIT_THRIFT" hidden="1">"c25612"</definedName>
    <definedName name="IQ_LIFE_INSURANCE_ASSETS_FDIC" hidden="1">"c6372"</definedName>
    <definedName name="IQ_LIQUID_ASSETS_NON_LIQUID_ASSETS_THRIFT" hidden="1">"c25626"</definedName>
    <definedName name="IQ_LIQUID_ASSETS_TOTAL_ASSETS_THRIFT" hidden="1">"c25696"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COMMITMENTS_REVOLVING_FDIC" hidden="1">"c6524"</definedName>
    <definedName name="IQ_LOAN_LEASE_ALLOWANCE_PAST_DUE_NONACCRUAL_LOANS_THRIFT" hidden="1">"c25643"</definedName>
    <definedName name="IQ_LOAN_LOSS_ALLOW_FDIC" hidden="1">"c6326"</definedName>
    <definedName name="IQ_LOAN_LOSS_ALLOWANCE_GROSS_LOANS_THRIFT" hidden="1">"c25736"</definedName>
    <definedName name="IQ_LOAN_LOSS_ALLOWANCE_NONCURRENT_LOANS_FDIC" hidden="1">"c6740"</definedName>
    <definedName name="IQ_LOAN_LOSSES_FDIC" hidden="1">"c6580"</definedName>
    <definedName name="IQ_LOAN_RECOVERIES_AVG_LOANS_THRIFT" hidden="1">"c25644"</definedName>
    <definedName name="IQ_LOAN_SERVICING_FEES_THRIFT" hidden="1">"c24790"</definedName>
    <definedName name="IQ_LOANS_AND_LEASES_HELD_FDIC" hidden="1">"c6367"</definedName>
    <definedName name="IQ_LOANS_CF_CM" hidden="1">"c661"</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ITUTIONS_FDIC" hidden="1">"c6382"</definedName>
    <definedName name="IQ_LOANS_HELD_FOREIGN_FDIC" hidden="1">"c6315"</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FOREIGN_FDIC" hidden="1">"c6383"</definedName>
    <definedName name="IQ_LOANS_LEASES_GROSS_FDIC" hidden="1">"c6323"</definedName>
    <definedName name="IQ_LOANS_LEASES_GROSS_FOREIGN_FDIC" hidden="1">"c6384"</definedName>
    <definedName name="IQ_LOANS_LEASES_HFS_DUE_30_89_THRIFT" hidden="1">"c25257"</definedName>
    <definedName name="IQ_LOANS_LEASES_HFS_DUE_90_THRIFT" hidden="1">"c25278"</definedName>
    <definedName name="IQ_LOANS_LEASES_HFS_NON_ACCRUAL_THRIFT" hidden="1">"c25299"</definedName>
    <definedName name="IQ_LOANS_LEASES_LEVEL_1_THRIFT" hidden="1">"c25494"</definedName>
    <definedName name="IQ_LOANS_LEASES_LEVEL_2_THRIFT" hidden="1">"c25495"</definedName>
    <definedName name="IQ_LOANS_LEASES_LEVEL_3_THRIFT" hidden="1">"c25496"</definedName>
    <definedName name="IQ_LOANS_LEASES_NET_FDIC" hidden="1">"c6327"</definedName>
    <definedName name="IQ_LOANS_LEASES_NET_UNEARNED_FDIC" hidden="1">"c6325"</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NOT_SECURED_RE_FDIC" hidden="1">"c6381"</definedName>
    <definedName name="IQ_LOANS_PURCHASE_CARRY_LL_REC_DOM_FFIEC" hidden="1">"c25856"</definedName>
    <definedName name="IQ_LOANS_PURCHASE_CARRY_LL_REC_FFIEC" hidden="1">"c25852"</definedName>
    <definedName name="IQ_LOANS_SECURED_BY_RE_CHARGE_OFFS_FDIC" hidden="1">"c6588"</definedName>
    <definedName name="IQ_LOANS_SECURED_BY_RE_RECOVERIES_FDIC" hidden="1">"c6607"</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NON_US_FDIC" hidden="1">"c6380"</definedName>
    <definedName name="IQ_LOANS_SECURED_RE_NET_CHARGE_OFFS_FDIC" hidden="1">"c6626"</definedName>
    <definedName name="IQ_LOANS_SERVICED_OTHERS_THRIFT" hidden="1">"c24935"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SS_RECOGNIZED_OCI_FFIEC" hidden="1">"c25847"</definedName>
    <definedName name="IQ_LT_DEBT_CM" hidden="1">"c676"</definedName>
    <definedName name="IQ_LT_DEBT_DERIVATIVES" hidden="1">"c17743"</definedName>
    <definedName name="IQ_LT_DEBT_ISSUED_CM" hidden="1">"c683"</definedName>
    <definedName name="IQ_LT_DEBT_REPAID_CM" hidden="1">"c691"</definedName>
    <definedName name="IQ_LT_INVEST_CM" hidden="1">"c698"</definedName>
    <definedName name="IQ_LTM" hidden="1">2000</definedName>
    <definedName name="IQ_LTMMONTH" hidden="1">120000</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KETING_OTHER_PROF_SERVICES_THRIFT" hidden="1">"c24788"</definedName>
    <definedName name="IQ_MATURITY_ONE_YEAR_LESS_FDIC" hidden="1">"c6425"</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PASS_THROUGH_FNMA_AFS_AMORT_COST_FFIEC" hidden="1">"c20494"</definedName>
    <definedName name="IQ_MBS_PASS_THROUGH_FNMA_AFS_FAIR_VAL_FFIEC" hidden="1">"c20459"</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HTM_AMORT_COST_FFIEC" hidden="1">"c20441"</definedName>
    <definedName name="IQ_MBS_PASS_THROUGH_GNMA_HTM_FAIR_VAL_FFIEC" hidden="1">"c20476"</definedName>
    <definedName name="IQ_MBS_PASS_THROUGH_OTHER_AFS_AMORT_COST_FFIEC" hidden="1">"c20495"</definedName>
    <definedName name="IQ_MBS_PASS_THROUGH_OTHER_AFS_FAIR_VAL_FFIEC" hidden="1">"c20460"</definedName>
    <definedName name="IQ_MBS_PASS_THROUGH_OTHER_HTM_AMORT_COST_FFIEC" hidden="1">"c20443"</definedName>
    <definedName name="IQ_MBS_PASS_THROUGH_OTHER_HTM_FAIR_VAL_FFIEC" hidden="1">"c20478"</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_CM" hidden="1">"c715"</definedName>
    <definedName name="IQ_MERGER_RESTRUCTURE_CM" hidden="1">"c721"</definedName>
    <definedName name="IQ_METRIC_NAME" hidden="1">"c18017"</definedName>
    <definedName name="IQ_MINIMUM_RENTAL" hidden="1">"c26970"</definedName>
    <definedName name="IQ_MINORITY_INT_AVG_ASSETS_THRIFT" hidden="1">"c25660"</definedName>
    <definedName name="IQ_MINORITY_INT_REDEEM" hidden="1">"c25787"</definedName>
    <definedName name="IQ_MINORITY_INT_REDEEM_TOT" hidden="1">"c25789"</definedName>
    <definedName name="IQ_MINORITY_INT_THRIFT" hidden="1">"c24926"</definedName>
    <definedName name="IQ_MINORITY_INTEREST_CM" hidden="1">"c729"</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MDA_SAVINGS_TOTAL_DEPOSITS_THRIFT" hidden="1">"c25778"</definedName>
    <definedName name="IQ_MOBILE_HOME_LOANS_THRIFT" hidden="1">"c24863"</definedName>
    <definedName name="IQ_MONEY_MARKET_DEPOSIT_ACCOUNTS_FDIC" hidden="1">"c6553"</definedName>
    <definedName name="IQ_MONEY_MARKET_DEPOSIT_ACCOUNTS_THRIFT" hidden="1">"c24999"</definedName>
    <definedName name="IQ_MONEY_SUPPLY_M1" hidden="1">"c20881"</definedName>
    <definedName name="IQ_MONEY_SUPPLY_M2" hidden="1">"c20882"</definedName>
    <definedName name="IQ_MONTH" hidden="1">15000</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BACKED_SECURITIES_FDIC" hidden="1">"c6402"</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ICING_FDIC" hidden="1">"c6335"</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THRIFT" hidden="1">"c25729"</definedName>
    <definedName name="IQ_MULTIFAMILY_LOANS_RISK_BASED_CAPITAL_THRIFT" hidden="1">"c25714"</definedName>
    <definedName name="IQ_MULTIFAMILY_RESIDENTIAL_LOANS_FDIC" hidden="1">"c6311"</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40218.8268634259</definedName>
    <definedName name="IQ_NATURAL_RESOURCES_COST" hidden="1">"c17550"</definedName>
    <definedName name="IQ_NAV_SHARE_EST_NOTE" hidden="1">"c17522"</definedName>
    <definedName name="IQ_NAV_SHARE_EST_NOTE_CIQ" hidden="1">"c17475"</definedName>
    <definedName name="IQ_NCLS_CLOSED_END_1_4_FAMILY_LOANS_TOTAL_LOANS_THRIFT" hidden="1">"c25769"</definedName>
    <definedName name="IQ_NCLS_COMM_LOANS_TOTAL_LOANS_THRIFT" hidden="1">"c25775"</definedName>
    <definedName name="IQ_NCLS_COMM_RE_FARM_LOANS_TOTAL_LOANS_THRIFT" hidden="1">"c25771"</definedName>
    <definedName name="IQ_NCLS_COMM_RE_NONFARM_NONRESIDENTIAL_TOTAL_LOANS_THRIFT" hidden="1">"c25773"</definedName>
    <definedName name="IQ_NCLS_CONSTRUCTION_LAND_DEVELOPMENT_LOANS_TOTAL_LOANS_THRIFT" hidden="1">"c25767"</definedName>
    <definedName name="IQ_NCLS_CONSUMER_LOANS_TOTAL_LOANS_THRIFT" hidden="1">"c25776"</definedName>
    <definedName name="IQ_NCLS_LAND_LOANS_TOTAL_LOANS_THRIFT" hidden="1">"c25772"</definedName>
    <definedName name="IQ_NCLS_MULTIFAMILY_5_MORE_LOANS_TOTAL_LOANS_THRIFT" hidden="1">"c25770"</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ILY_LOANS_TOTAL_LOANS_THRIFT" hidden="1">"c25757"</definedName>
    <definedName name="IQ_NCOS_COMM_LOANS_TOTAL_LOANS_THRIFT" hidden="1">"c25763"</definedName>
    <definedName name="IQ_NCOS_COMM_RE_FARM_LOANS_TOTAL_LOANS_THRIFT" hidden="1">"c25759"</definedName>
    <definedName name="IQ_NCOS_COMM_RE_NONFARM_NONRESIDENTIAL_TOTAL_LOANS_THRIFT" hidden="1">"c25761"</definedName>
    <definedName name="IQ_NCOS_CONSTRUCTION_LAND_DEVELOPMENT_LOANS_TOTAL_LOANS_THRIFT" hidden="1">"c25755"</definedName>
    <definedName name="IQ_NCOS_CONSUMER_LOANS_TOTAL_LOANS_THRIFT" hidden="1">"c25764"</definedName>
    <definedName name="IQ_NCOS_LAND_LOANS_TOTAL_LOANS_THRIFT" hidden="1">"c25760"</definedName>
    <definedName name="IQ_NCOS_MULTIFAMILY_5_MORE_LOANS_TOTAL_LOANS_THRIFT" hidden="1">"c25758"</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T_CHARGE_OFFS_FDIC" hidden="1">"c6641"</definedName>
    <definedName name="IQ_NET_CHARGE_OFFS_LOANS_FDIC" hidden="1">"c6751"</definedName>
    <definedName name="IQ_NET_DEBT_ISSUED_CM" hidden="1">"c753"</definedName>
    <definedName name="IQ_NET_FED_FUNDS_PURCHASED_TOTAL_ASSETS_THRIFT" hidden="1">"c25704"</definedName>
    <definedName name="IQ_NET_FIDUCIARY_RELATED_SERVICES_INC_THRIFT" hidden="1">"c24815"</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SEC_HTM_THRIFT" hidden="1">"c24773"</definedName>
    <definedName name="IQ_NET_GAINS_FIN_ASSETS_LIABILITIES_FV_THRIFT" hidden="1">"c24776"</definedName>
    <definedName name="IQ_NET_IMPAIR_LOSS_FFIEC" hidden="1">"c25848"</definedName>
    <definedName name="IQ_NET_INCOME_AVG_ASSETS_THRIFT" hidden="1">"c25661"</definedName>
    <definedName name="IQ_NET_INCOME_FDIC" hidden="1">"c6587"</definedName>
    <definedName name="IQ_NET_INCOME_LOCOM_ADJUST_THRIFT" hidden="1">"c24779"</definedName>
    <definedName name="IQ_NET_INCOME_LOSS_ATTRIBUTABLE_SAVINGS_ASSOCIATION_THRIFT" hidden="1">"c25009"</definedName>
    <definedName name="IQ_NET_INCOME_REPOSSESS_ASSETS_THRIFT" hidden="1">"c24778"</definedName>
    <definedName name="IQ_NET_INCOME_SALE_ASSETS_HFS_AFS_SEC_THRIFT" hidden="1">"c24769"</definedName>
    <definedName name="IQ_NET_INT_INC_BNK_FDIC" hidden="1">"c6570"</definedName>
    <definedName name="IQ_NET_INT_INC_CM" hidden="1">"c765"</definedName>
    <definedName name="IQ_NET_INT_INCOME_AFTER_PROVISION_THRIFT" hidden="1">"c25871"</definedName>
    <definedName name="IQ_NET_INT_INCOME_AVG_ASSETS_THRIFT" hidden="1">"c25649"</definedName>
    <definedName name="IQ_NET_INT_INCOME_AVG_EARNING_ASSETS_THRIFT" hidden="1">"c25668"</definedName>
    <definedName name="IQ_NET_INT_INCOME_THRIFT" hidden="1">"c24765"</definedName>
    <definedName name="IQ_NET_INTEREST_MARGIN_FDIC" hidden="1">"c6726"</definedName>
    <definedName name="IQ_NET_LOAN_LOSSES_AVG_LOANS_THRIFT" hidden="1">"c25635"</definedName>
    <definedName name="IQ_NET_LOANS_CORE_DEPOSITS_THRIFT" hidden="1">"c25628"</definedName>
    <definedName name="IQ_NET_LOANS_EQUITY_THRIFT" hidden="1">"c25632"</definedName>
    <definedName name="IQ_NET_LOANS_LEASES_CORE_DEPOSITS_FDIC" hidden="1">"c6743"</definedName>
    <definedName name="IQ_NET_LOANS_LEASES_DEPOSITS_FDIC" hidden="1">"c6742"</definedName>
    <definedName name="IQ_NET_LOANS_LEASES_LETTERS_CREDIT_TOTAL_ASSETS_THRIFT" hidden="1">"c25698"</definedName>
    <definedName name="IQ_NET_LOANS_LEASES_TOTAL_ASSETS_THRIFT" hidden="1">"c25694"</definedName>
    <definedName name="IQ_NET_LOANS_TOTAL_DEPOSITS_THRIFT" hidden="1">"c25627"</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OCCUPANCY_EXP_ADJUSTED_OPERATING_INCOME_THRIFT" hidden="1">"c25686"</definedName>
    <definedName name="IQ_NET_OPERATING_INCOME_ASSETS_FDIC" hidden="1">"c6729"</definedName>
    <definedName name="IQ_NET_PC_WRITTEN" hidden="1">"c1027"</definedName>
    <definedName name="IQ_NET_PROVISION_LOSS_GVA_THRIFT" hidden="1">"c25092"</definedName>
    <definedName name="IQ_NET_PROVISION_LOSS_SVA_THRIFT" hidden="1">"c25100"</definedName>
    <definedName name="IQ_NET_PROVISION_LOSS_TVA_THRIFT" hidden="1">"c25107"</definedName>
    <definedName name="IQ_NET_SECURITIZATION_INCOME_FDIC" hidden="1">"c6669"</definedName>
    <definedName name="IQ_NET_SERVICING_FEES_ADJUSTED_OPERATING_INCOME_THRIFT" hidden="1">"c25690"</definedName>
    <definedName name="IQ_NET_SERVICING_FEES_FDIC" hidden="1">"c6668"</definedName>
    <definedName name="IQ_NEW_BASIS_ACCOUNTING_ADJUSTMENTS_SAVINGS_ASSOCIATION_THRIFT" hidden="1">"c25015"</definedName>
    <definedName name="IQ_NEW_DEPOSITS_RECEIVED_LESS_DEPOSITS_WITHDRAWN_THRIFT" hidden="1">"c25343"</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XDIV_DATE" hidden="1">"c17411"</definedName>
    <definedName name="IQ_NI_BANK_NONCONTROLLING_INT_THRIFT" hidden="1">"c24798"</definedName>
    <definedName name="IQ_NI_COMPANY" hidden="1">"c25786"</definedName>
    <definedName name="IQ_NI_NONCONTROLLING_INT_THRIFT" hidden="1">"c24799"</definedName>
    <definedName name="IQ_NI_THRIFT" hidden="1">"c24800"</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INT_BEARING_DEMAND_DEPOSITS_THRIFT" hidden="1">"c25007"</definedName>
    <definedName name="IQ_NON_INT_EXP_AFTER_PROVISION_THRIFT" hidden="1">"c25872"</definedName>
    <definedName name="IQ_NON_INT_EXP_AVG_ASSETS_THRIFT" hidden="1">"c25784"</definedName>
    <definedName name="IQ_NON_INT_EXP_FDIC" hidden="1">"c6579"</definedName>
    <definedName name="IQ_NON_INT_EXP_THRIFT" hidden="1">"c24793"</definedName>
    <definedName name="IQ_NON_INT_INC_FDIC" hidden="1">"c6575"</definedName>
    <definedName name="IQ_NON_INT_INCOME_ADJUSTED_OPERATING_INCOME_THRIFT" hidden="1">"c25688"</definedName>
    <definedName name="IQ_NON_INT_INCOME_AVG_ASSETS_THRIFT" hidden="1">"c25650"</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ORE_FUNDING_TOTAL_ASSETS_THRIFT" hidden="1">"c25700"</definedName>
    <definedName name="IQ_NONCUMULATIVE_PREF_THRIFT" hidden="1">"c24916"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FARM_NONRES_LOANS_GROSS_LOANS_THRIFT" hidden="1">"c25730"</definedName>
    <definedName name="IQ_NONFARM_NONRES_LOANS_RISK_BASED_CAPITAL_THRIFT" hidden="1">"c25715"</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NSACTION_ACCOUNTS_FDIC" hidden="1">"c6552"</definedName>
    <definedName name="IQ_NOTES_OBLIGATIONS_FDIC_INC_COVERED_ASSETS_ELIGIBLE_0_PCT_RISK_WEIGHT_THRIFT" hidden="1">"c25053"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DEPOSITS_LESS_THAN_100K_FDIC" hidden="1">"c6495"</definedName>
    <definedName name="IQ_NUMBER_DEPOSITS_MORE_THAN_100K_FDIC" hidden="1">"c6493"</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TRADES_EXECUTED" hidden="1">"c20428"</definedName>
    <definedName name="IQ_OBLIGATIONS_OF_STATES_TOTAL_LOANS_FOREIGN_FDIC" hidden="1">"c6447"</definedName>
    <definedName name="IQ_OBLIGATIONS_STATES_FDIC" hidden="1">"c6431"</definedName>
    <definedName name="IQ_OCCUPANCY_EXP_AVG_ASSETS_THRIFT" hidden="1">"c25663"</definedName>
    <definedName name="IQ_OECD_LEAD_INDICATOR" hidden="1">"c20953"</definedName>
    <definedName name="IQ_OFFICE_OCCUPANCY_EQUIP_EXP_THRIFT" hidden="1">"c24787"</definedName>
    <definedName name="IQ_OFFICE_PREMISES_EQUIPMENT_THRIFT" hidden="1">"c24882"</definedName>
    <definedName name="IQ_OG_EQUITY_RESERVES_GAS" hidden="1">"c2050"</definedName>
    <definedName name="IQ_OG_EQUITY_RESERVES_NGL" hidden="1">"c2921"</definedName>
    <definedName name="IQ_OG_EQUITY_RESERVES_OIL" hidden="1">"c2038"</definedName>
    <definedName name="IQ_OPEN_END_LINES_CREDIT_THRIFT" hidden="1">"c25608"</definedName>
    <definedName name="IQ_OPER_INC_CM" hidden="1">"c850"</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RGANIC_GROWTH_RATE" hidden="1">"c20429"</definedName>
    <definedName name="IQ_OTHER_ACCRUED_INT_PAYABLE_THRIFT" hidden="1">"c24908"</definedName>
    <definedName name="IQ_OTHER_ADDITIONS_ADJUSTED_ASSETS_THRIFT" hidden="1">"c25037"</definedName>
    <definedName name="IQ_OTHER_ADDITIONS_T1_THRIFT" hidden="1">"c25028"</definedName>
    <definedName name="IQ_OTHER_ADDITIONS_T2_THRIFT" hidden="1">"c25044"</definedName>
    <definedName name="IQ_OTHER_ADJUSTMENTS_SAVINGS_ASSOCIATION_THRIFT" hidden="1">"c25018"</definedName>
    <definedName name="IQ_OTHER_AMORT_CM" hidden="1">"c5566"</definedName>
    <definedName name="IQ_OTHER_AOCI_THRIFT" hidden="1">"c24923"</definedName>
    <definedName name="IQ_OTHER_ASSETS_ADJUSTED_NCOS_TOTAL_THRIFT" hidden="1">"c25227"</definedName>
    <definedName name="IQ_OTHER_ASSETS_CM" hidden="1">"c862"</definedName>
    <definedName name="IQ_OTHER_ASSETS_FDIC" hidden="1">"c6338"</definedName>
    <definedName name="IQ_OTHER_ASSETS_GVA_CHARGE_OFFS_THRIFT" hidden="1">"c25142"</definedName>
    <definedName name="IQ_OTHER_ASSETS_GVA_RECOVERIES_THRIFT" hidden="1">"c25165"</definedName>
    <definedName name="IQ_OTHER_ASSETS_GVA_THRIFT" hidden="1">"c24893"</definedName>
    <definedName name="IQ_OTHER_ASSETS_SVA_PROVISIONS_TRANSFERS_FROM_GVA_TOTAL_THRIFT" hidden="1">"c25196"</definedName>
    <definedName name="IQ_OTHER_ASSETS_THRIFT" hidden="1">"c24892"</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ORROWED_FUNDS_FDIC" hidden="1">"c6345"</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_SUPPL_CM" hidden="1">"c871"</definedName>
    <definedName name="IQ_OTHER_CL_SUPPL_CM" hidden="1">"c880"</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DIC" hidden="1">"c6503"</definedName>
    <definedName name="IQ_OTHER_COMPREHENSIVE_INCOME_SAVINGS_ASSOCIATION_THRIFT" hidden="1">"c25016"</definedName>
    <definedName name="IQ_OTHER_CONSTRUCTION_LOANS_GROSS_LOANS_THRIFT" hidden="1">"c25728"</definedName>
    <definedName name="IQ_OTHER_CONSTRUCTION_LOANS_RISK_BASED_CAPITAL_THRIFT" hidden="1">"c25713"</definedName>
    <definedName name="IQ_OTHER_CONSUMER_INC_LEASE_RECEIVABLES_THRIFT" hidden="1">"c24865"</definedName>
    <definedName name="IQ_OTHER_CONTINGENT_LIABILITIES_THRIFT" hidden="1">"c25621"</definedName>
    <definedName name="IQ_OTHER_CREDIT_CARD_LINES_UNUSED_FFIEC" hidden="1">"c25863"</definedName>
    <definedName name="IQ_OTHER_DEBT_SEC_DOM_AFS_AMORT_COST_FFIEC" hidden="1">"c20503"</definedName>
    <definedName name="IQ_OTHER_DEBT_SEC_DOM_AFS_FAIR_VAL_FFIEC" hidden="1">"c20468"</definedName>
    <definedName name="IQ_OTHER_DEBT_SEC_FOREIGN_AFS_AMORT_COST_FFIEC" hidden="1">"c20504"</definedName>
    <definedName name="IQ_OTHER_DEBT_SEC_FOREIGN_AFS_FAIR_VAL_FFIEC" hidden="1">"c20469"</definedName>
    <definedName name="IQ_OTHER_DEBT_SECURITIES_DOM_HTM_AMORT_COST_FFIEC" hidden="1">"c20451"</definedName>
    <definedName name="IQ_OTHER_DEBT_SECURITIES_DOM_HTM_FAIR_VAL_FFIEC" hidden="1">"c20486"</definedName>
    <definedName name="IQ_OTHER_DEBT_SECURITIES_FOREIGN_HTM_AMORT_COST_FFIEC" hidden="1">"c20452"</definedName>
    <definedName name="IQ_OTHER_DEBT_SECURITIES_FOREIGN_HTM_FAIR_VAL_FFIEC" hidden="1">"c20487"</definedName>
    <definedName name="IQ_OTHER_DEDUCTIONS_ADJUSTED_ASSETS_THRIFT" hidden="1">"c25034"</definedName>
    <definedName name="IQ_OTHER_DEDUCTIONS_T1_THRIFT" hidden="1">"c25025"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QUITY_CAPITAL_COMPONENTS_THRIFT" hidden="1">"c24924"</definedName>
    <definedName name="IQ_OTHER_EQUITY_CM" hidden="1">"c888"</definedName>
    <definedName name="IQ_OTHER_EQUITY_INSTRUMENTS_T2_THRIFT" hidden="1">"c25042"</definedName>
    <definedName name="IQ_OTHER_EQUITY_INV_NOT_CARRIED_FV_THRIFT" hidden="1">"c24881"</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_CM" hidden="1">"c895"</definedName>
    <definedName name="IQ_OTHER_FINANCE_ACT_SUPPL_CM" hidden="1">"c901"</definedName>
    <definedName name="IQ_OTHER_INSURANCE_FEES_FDIC" hidden="1">"c6672"</definedName>
    <definedName name="IQ_OTHER_INT_EARNING_DEPOSITS_THRIFT" hidden="1">"c24820"</definedName>
    <definedName name="IQ_OTHER_INTAN_CM" hidden="1">"c909"</definedName>
    <definedName name="IQ_OTHER_INTANGIBLE_FDIC" hidden="1">"c6337"</definedName>
    <definedName name="IQ_OTHER_INV_SEC_INV_SEC_THRIFT" hidden="1">"c25675"</definedName>
    <definedName name="IQ_OTHER_INV_SEC_THRIFT" hidden="1">"c24826"</definedName>
    <definedName name="IQ_OTHER_INVEST_ACT_CM" hidden="1">"c918"</definedName>
    <definedName name="IQ_OTHER_INVEST_ACT_SUPPL_CM" hidden="1">"c924"</definedName>
    <definedName name="IQ_OTHER_LIAB_CM" hidden="1">"c932"</definedName>
    <definedName name="IQ_OTHER_LIAB_LT_CM" hidden="1">"c937"</definedName>
    <definedName name="IQ_OTHER_LIABILITIES_DEFERRED_INCOME_THRIFT" hidden="1">"c24912"</definedName>
    <definedName name="IQ_OTHER_LIABILITIES_FDIC" hidden="1">"c6347"</definedName>
    <definedName name="IQ_OTHER_LIABILITIES_THRIFT" hidden="1">"c24905"</definedName>
    <definedName name="IQ_OTHER_LINES_CREDIT_THRIFT" hidden="1">"c25611"</definedName>
    <definedName name="IQ_OTHER_LOANS_CHARGE_OFFS_FDIC" hidden="1">"c6601"</definedName>
    <definedName name="IQ_OTHER_LOANS_FOREIGN_FDIC" hidden="1">"c6446"</definedName>
    <definedName name="IQ_OTHER_LOANS_LEASES_FDIC" hidden="1">"c6322"</definedName>
    <definedName name="IQ_OTHER_LOANS_LEASES_GROSS_LOANS_THRIFT" hidden="1">"c25735"</definedName>
    <definedName name="IQ_OTHER_LOANS_LEASES_RISK_BASED_CAPITAL_THRIFT" hidden="1">"c25720"</definedName>
    <definedName name="IQ_OTHER_LOANS_NET_CHARGE_OFFS_FDIC" hidden="1">"c6639"</definedName>
    <definedName name="IQ_OTHER_LOANS_RECOVERIES_FDIC" hidden="1">"c6620"</definedName>
    <definedName name="IQ_OTHER_LOANS_TOTAL_FDIC" hidden="1">"c6432"</definedName>
    <definedName name="IQ_OTHER_LT_ASSETS_CM" hidden="1">"c948"</definedName>
    <definedName name="IQ_OTHER_MBS_AFS_AMORT_COST_FFIEC" hidden="1">"c20498"</definedName>
    <definedName name="IQ_OTHER_MBS_AFS_FAIR_VAL_FFIEC" hidden="1">"c20463"</definedName>
    <definedName name="IQ_OTHER_MBS_EXCLUDING_BONDS_THRIFT" hidden="1">"c24832"</definedName>
    <definedName name="IQ_OTHER_MBS_HTM_AMORT_COST_FFIEC" hidden="1">"c20446"</definedName>
    <definedName name="IQ_OTHER_MBS_HTM_FAIR_VAL_FFIEC" hidden="1">"c20481"</definedName>
    <definedName name="IQ_OTHER_MBS_THRIFT" hidden="1">"c24835"</definedName>
    <definedName name="IQ_OTHER_NO_NINT_INCOME_THRIFT" hidden="1">"c24780"</definedName>
    <definedName name="IQ_OTHER_NON_INT_EXP_FDIC" hidden="1">"c6578"</definedName>
    <definedName name="IQ_OTHER_NON_INT_EXP_THRIFT" hidden="1">"c24792"</definedName>
    <definedName name="IQ_OTHER_NON_INT_EXPENSE_FDIC" hidden="1">"c6679"</definedName>
    <definedName name="IQ_OTHER_NON_INT_INC_FDIC" hidden="1">"c6676"</definedName>
    <definedName name="IQ_OTHER_NON_INT_INCOME_ADJUSTED_OPERATING_INCOME_THRIFT" hidden="1">"c25691"</definedName>
    <definedName name="IQ_OTHER_NON_OPER_EXP_CM" hidden="1">"c957"</definedName>
    <definedName name="IQ_OTHER_NON_OPER_EXP_SUPPL_CM" hidden="1">"c962"</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LIAB_FDIC" hidden="1">"c6533"</definedName>
    <definedName name="IQ_OTHER_OPER_ACT_CM" hidden="1">"c985"</definedName>
    <definedName name="IQ_OTHER_OPER_CM" hidden="1">"c990"</definedName>
    <definedName name="IQ_OTHER_OPER_SUPPL_CM" hidden="1">"c994"</definedName>
    <definedName name="IQ_OTHER_OPER_TOT_CM" hidden="1">"c1000"</definedName>
    <definedName name="IQ_OTHER_OPERATING_EXPENSES_ADJUSTED_OPERATING_INCOME_THRIFT" hidden="1">"c25687"</definedName>
    <definedName name="IQ_OTHER_OPERATING_EXPENSES_AVG_ASSETS_THRIFT" hidden="1">"c25664"</definedName>
    <definedName name="IQ_OTHER_PASS_THROUGH_THRIFT" hidden="1">"c24831"</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RE_OWNED_FDIC" hidden="1">"c6330"</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_CM" hidden="1">"c1011"</definedName>
    <definedName name="IQ_OTHER_REV_SUPPL_CM" hidden="1">"c1016"</definedName>
    <definedName name="IQ_OTHER_SAVINGS_DEPOSITS_FDIC" hidden="1">"c6554"</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TEMP_IMPAIR_LOSS_HTM_AFS_FFIEC" hidden="1">"c25845"</definedName>
    <definedName name="IQ_OTHER_TIME_DEPOSITS_THRIFT" hidden="1">"c25569"</definedName>
    <definedName name="IQ_OTHER_TRANSACTIONS_FDIC" hidden="1">"c6504"</definedName>
    <definedName name="IQ_OTHER_UNUSED_COMMITMENTS_FDIC" hidden="1">"c6530"</definedName>
    <definedName name="IQ_OTHER_UNUSUAL_CM" hidden="1">"c1561"</definedName>
    <definedName name="IQ_OTHER_UNUSUAL_SUPPL_CM" hidden="1">"c1496"</definedName>
    <definedName name="IQ_OUTSTANDING_BALANCE_CONTRACTUAL_PURCHASED_CREDIT_IMPAIRED_LOANS_THRIFT" hidden="1">"c25237"</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 hidden="1">"c25684"</definedName>
    <definedName name="IQ_OVERHEAD_EXP_AVG_ASSETS_THRIFT" hidden="1">"c25652"</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PARTICIPATION_POOLS_RESIDENTIAL_MORTGAGES_FDIC" hidden="1">"c6403"</definedName>
    <definedName name="IQ_PASS_THROUGH_MBS_THRIFT" hidden="1">"c24829"</definedName>
    <definedName name="IQ_PASSBOOK_ACCOUNTS_INC_NONDEMAND_ESCROWS_THRIFT" hidden="1">"c25000"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LOANS_GROSS_LOANS_THRIFT" hidden="1">"c25737"</definedName>
    <definedName name="IQ_PERCENT_ASSETS_TEST_THRIFT" hidden="1">"c25587"</definedName>
    <definedName name="IQ_PERCENT_INSURED_FDIC" hidden="1">"c6374"</definedName>
    <definedName name="IQ_PERIODDATE_FDIC" hidden="1">"c13646"</definedName>
    <definedName name="IQ_PERIODDATE_THRIFT" hidden="1">"c25897"</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URRENT_TAXES" hidden="1">"c20956"</definedName>
    <definedName name="IQ_PERSONAL_DISPOSABLE_INCOME" hidden="1">"c20957"</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TRANSFER_RECEIPTS" hidden="1">"c20981"</definedName>
    <definedName name="IQ_PERSONAL_INCOME_TRANSFER_RECEIPTS_OTHER" hidden="1">"c20982"</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THRIFT" hidden="1">"c25662"</definedName>
    <definedName name="IQ_PLEDGED_LOANS_THRIFT" hidden="1">"c24936"</definedName>
    <definedName name="IQ_PLEDGED_SECURITIES_FDIC" hidden="1">"c6401"</definedName>
    <definedName name="IQ_PLEDGED_SECURITIES_FFIEC" hidden="1">"c24743"</definedName>
    <definedName name="IQ_PLEDGED_TRADING_ASSETS_THRIFT" hidden="1">"c24937"</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OPULATION" hidden="1">"c20994"</definedName>
    <definedName name="IQ_POPULATION_FC" hidden="1">"c20995"</definedName>
    <definedName name="IQ_PORTFOLIO_INVESTMENT_NET" hidden="1">"c20996"</definedName>
    <definedName name="IQ_PORTFOLIO_SHARES" hidden="1">"c19116"</definedName>
    <definedName name="IQ_PRE_TAX_INCOME_FDIC" hidden="1">"c6581"</definedName>
    <definedName name="IQ_PREF_ISSUED_CM" hidden="1">"c1047"</definedName>
    <definedName name="IQ_PREF_OTHER_CM" hidden="1">"c1055"</definedName>
    <definedName name="IQ_PREF_REP_CM" hidden="1">"c1062"</definedName>
    <definedName name="IQ_PREFERRED_DEPOSITS_THRIFT" hidden="1">"c24996"</definedName>
    <definedName name="IQ_PREFERRED_FDIC" hidden="1">"c6349"</definedName>
    <definedName name="IQ_PREFERRED_STOCK_DIVIDENDS_DECLARED_SAVINGS_ASSOCIATION_THRIFT" hidden="1">"c25010"</definedName>
    <definedName name="IQ_PREMISES_EQUIPMENT_FDIC" hidden="1">"c6577"</definedName>
    <definedName name="IQ_PRETAX_RETURN_ASSETS_FDIC" hidden="1">"c6731"</definedName>
    <definedName name="IQ_PRICE_SALES" hidden="1">"c17552"</definedName>
    <definedName name="IQ_PRIMARY_EST_CONSOLIDATION" hidden="1">"c16246"</definedName>
    <definedName name="IQ_PRIMARY_EST_CONSOLIDATION_CIQ" hidden="1">"c16247"</definedName>
    <definedName name="IQ_PRIOR_PERIOD_ADJUSTMENTS_SAVINGS_ASSOCIATION_THRIFT" hidden="1">"c25017"</definedName>
    <definedName name="IQ_PRIVATELY_ISSUED_MORTGAGE_BACKED_SECURITIES_FDIC" hidden="1">"c6407"</definedName>
    <definedName name="IQ_PRIVATELY_ISSUED_MORTGAGE_PASS_THROUGHS_FDIC" hidden="1">"c6405"</definedName>
    <definedName name="IQ_PROVISION_LL_AVG_LOANS_THRIFT" hidden="1">"c25639"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ES_AVG_ASSETS_THRIFT" hidden="1">"c25653"</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OTHER_MORTGAGE_BACKED_SEC_THRIFT" hidden="1">"c25314"</definedName>
    <definedName name="IQ_PURCHASES_PASS_THROUGH_MORTGAGE_BACKED_SEC_THRIFT" hidden="1">"c25311"</definedName>
    <definedName name="IQ_QTD" hidden="1">750000</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ABLE_PREFERRED_T2_THRIFT" hidden="1">"c25041"</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ALL_OTHER_ACCOUNTS_THRIFT" hidden="1">"c25436"</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EMPLOYEE_BENEFIT_RETIREMENT_RELATED_ACCOUNTS_THRIFT" hidden="1">"c25420"</definedName>
    <definedName name="IQ_RE_FORECLOSURE_FDIC" hidden="1">"c6332"</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INVEST_FDIC" hidden="1">"c6331"</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 hidden="1">"c25826"</definedName>
    <definedName name="IQ_RE_LOANS_DUE_90_FFIEC" hidden="1">"c25827"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PERSONAL_TRUST_AGENCY_INV_MANAGEMENT_ACCOUNTS_THRIFT" hidden="1">"c25404"</definedName>
    <definedName name="IQ_REAL_DOMESTIC_PURCHASES" hidden="1">"c20997"</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IPROCAL_BROKERED_DEPOSITS_THRIFT" hidden="1">"c24997"</definedName>
    <definedName name="IQ_RECORDED_INV_PURCHASED_CREDIT_IMPAIRED_LOANS_THRIFT" hidden="1">"c25238"</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GVA_THRIFT" hidden="1">"c25094"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 hidden="1">"c25108"</definedName>
    <definedName name="IQ_RELATED_PLANS_FDIC" hidden="1">"c6320"</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SIDUAL_INTERESTS_INT_ONLY_STRIPS_THRIFT" hidden="1">"c24939"</definedName>
    <definedName name="IQ_RESIDUAL_INTERESTS_THRIFT" hidden="1">"c24938"</definedName>
    <definedName name="IQ_RESTATEMENTS_NET_FDIC" hidden="1">"c6500"</definedName>
    <definedName name="IQ_RESTRUCTURE_CM"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SALES_BUILDING_MATERIAL" hidden="1">"c21087"</definedName>
    <definedName name="IQ_RETAIL_SALES_CLOTHING" hidden="1">"c21088"</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SPORTING_GOODS" hidden="1">"c21097"</definedName>
    <definedName name="IQ_RETAIL_SALES_TOTAL" hidden="1">"c21098"</definedName>
    <definedName name="IQ_RETAIL_SALES_TOTAL_EX_MOTOR_VEHICLE" hidden="1">"c21099"</definedName>
    <definedName name="IQ_RETAIL_SALES_YOY_PCT" hidden="1">"c21100"</definedName>
    <definedName name="IQ_RETAINED_EARNINGS_AVERAGE_EQUITY_FDIC" hidden="1">"c6733"</definedName>
    <definedName name="IQ_RETAINED_EARNINGS_EQUITY_THRIFT" hidden="1">"c25633"</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_CM" hidden="1">"c1115"</definedName>
    <definedName name="IQ_RETURN_ASSETS_FDIC" hidden="1">"c6730"</definedName>
    <definedName name="IQ_RETURN_EQUITY_CM" hidden="1">"c1120"</definedName>
    <definedName name="IQ_RETURN_EQUITY_FDIC" hidden="1">"c6732"</definedName>
    <definedName name="IQ_REVALUATION_GAINS_FDIC" hidden="1">"c6428"</definedName>
    <definedName name="IQ_REVALUATION_LOSSES_FDIC" hidden="1">"c6429"</definedName>
    <definedName name="IQ_REVENUE_BEFORE_LL_THRIFT" hidden="1">"c24782"</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OLVING_LOANS_GROSS_LOANS_THRIFT" hidden="1">"c25723"</definedName>
    <definedName name="IQ_REVOLVING_LOANS_RISK_BASED_CAPITAL_THRIFT" hidden="1">"c25708"</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ISK_WEIGHTED_ASSETS_BEFORE_EXCESS_ALLOWANCE_LL_LOSSES_THRIFT" hidden="1">"c25077"</definedName>
    <definedName name="IQ_RISK_WEIGHTED_ASSETS_FDIC" hidden="1">"c6370"</definedName>
    <definedName name="IQ_RISK_WEIGHTED_ASSETS_LOW_LEVEL_RECOURSE_RESIDUAL_INTERESTS_THRIFT" hidden="1">"c25075"</definedName>
    <definedName name="IQ_RSSD_ID_FFIEC" hidden="1">"c20506"</definedName>
    <definedName name="IQ_SALARIES_EMPLOYEE_BENEFITS_THRIFT" hidden="1">"c24786"</definedName>
    <definedName name="IQ_SALARY_FDIC" hidden="1">"c6576"</definedName>
    <definedName name="IQ_SALE_CONVERSION_RETIREMENT_STOCK_FDIC" hidden="1">"c6661"</definedName>
    <definedName name="IQ_SALE_INTAN_CF_CM" hidden="1">"c1133"</definedName>
    <definedName name="IQ_SALE_PPE_CF_CM" hidden="1">"c1139"</definedName>
    <definedName name="IQ_SALE_PROCEEDS_RENTAL_ASSETS" hidden="1">"c26974"</definedName>
    <definedName name="IQ_SALE_REAL_ESTATE_CF_CM" hidden="1">"c1145"</definedName>
    <definedName name="IQ_SALES_COMM_NON_MORTGAGE_LOANS_THRIFT" hidden="1">"c25340"</definedName>
    <definedName name="IQ_SALES_CONSUMER_NON_MORTGAGE_LOANS_THRIFT" hidden="1">"c25342"</definedName>
    <definedName name="IQ_SALES_OTHER_MORTGAGE_BACKED_SEC_THRIFT" hidden="1">"c25315"</definedName>
    <definedName name="IQ_SALES_PASS_THROUGH_MORTGAGE_BACKED_SEC_THRIFT" hidden="1">"c25312"</definedName>
    <definedName name="IQ_SAVINGS_ASSOCIATION_EQUITY_CAPITAL_BEGINNING_BALANCE_FROM_PRIOR_QTR_THRIFT" hidden="1">"c25008"</definedName>
    <definedName name="IQ_SAVINGS_ASSOCIATION_EQUITY_CAPITAL_ENDING_BALANCE_THRIFT" hidden="1">"c25019"</definedName>
    <definedName name="IQ_SEC_BACKED_NON_MORTGAGE_LOANS_THRIFT" hidden="1">"c24825"</definedName>
    <definedName name="IQ_SEC_BACKED_US_GOVT_ELIGIBLE_0_PCT_RISK_WEIGHT_THRIFT" hidden="1">"c25052"</definedName>
    <definedName name="IQ_SEC_ISSUED_US_AFS_AMORT_COST_FFIEC" hidden="1">"c20492"</definedName>
    <definedName name="IQ_SEC_ISSUED_US_AFS_FAIR_VAL_FFIEC" hidden="1">"c20457"</definedName>
    <definedName name="IQ_SEC_RISK_WEIGHTED_100_PCT_MORE_UNDER_RATINGS_THRIFT" hidden="1">"c25071"</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 hidden="1">"c24854"</definedName>
    <definedName name="IQ_SECURED_FARMLAND_CHARGE_OFFS_FDIC" hidden="1">"c6593"</definedName>
    <definedName name="IQ_SECURED_FARMLAND_NET_CHARGE_OFFS_FDIC" hidden="1">"c6631"</definedName>
    <definedName name="IQ_SECURED_FARMLAND_RECOVERIES_FDIC" hidden="1">"c6612"</definedName>
    <definedName name="IQ_SECURED_FED_FUNDS_PURCHASED_TOTAL_ASSETS_THRIFT" hidden="1">"c25703"</definedName>
    <definedName name="IQ_SECURED_FEDERAL_FUNDS_PURCHASED_THRIFT" hidden="1">"c25573"</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TM_AMORT_COST_FFIEC" hidden="1">"c20436"</definedName>
    <definedName name="IQ_SECURITIES_HTM_FAIR_VAL_FFIEC" hidden="1">"c20471"</definedName>
    <definedName name="IQ_SECURITIES_ISSUED_STATES_FDIC" hidden="1">"c6300"</definedName>
    <definedName name="IQ_SECURITIES_ISSUED_US_HTM_AMORT_COST_FFIEC" hidden="1">"c20440"</definedName>
    <definedName name="IQ_SECURITIES_ISSUED_US_HTM_FAIR_VAL_FFIEC" hidden="1">"c20475"</definedName>
    <definedName name="IQ_SECURITIES_LENT_FDIC" hidden="1">"c6532"</definedName>
    <definedName name="IQ_SECURITIES_UNDERWRITING_FDIC" hidden="1">"c6529"</definedName>
    <definedName name="IQ_SECURITIZED_DEBT" hidden="1">"c17897"</definedName>
    <definedName name="IQ_SECURITIZED_DEBT_PCT" hidden="1">"c18011"</definedName>
    <definedName name="IQ_SERVICE_CHARGES_COMM_FEE_DOM_FFIEC" hidden="1">"c25821"</definedName>
    <definedName name="IQ_SERVICE_CHARGES_FDIC" hidden="1">"c6572"</definedName>
    <definedName name="IQ_SERVICING_ASSETS_MORTGAGE_LOANS_THRIFT" hidden="1">"c24888"</definedName>
    <definedName name="IQ_SERVICING_ASSETS_NON_MORTGAGE_LOANS_THRIFT" hidden="1">"c24889"</definedName>
    <definedName name="IQ_SHAREOUTSTANDING" hidden="1">"c1347"</definedName>
    <definedName name="IQ_SHORT_BUSINESS_DESCRIPTION" hidden="1">"c24668"</definedName>
    <definedName name="IQ_SHORT_TERM_INV_SHORT_TERM_NONCORE_FUNDING_THRIFT" hidden="1">"c25625"</definedName>
    <definedName name="IQ_SHORT_TERM_INV_TOTAL_ASSETS_THRIFT" hidden="1">"c25695"</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_CM" hidden="1">"c1171"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UNSECURED_BONDS_NOTES" hidden="1">"c17891"</definedName>
    <definedName name="IQ_SR_UNSECURED_BONDS_NOTES_PCT" hidden="1">"c18005"</definedName>
    <definedName name="IQ_ST_DEBT_CM" hidden="1">"c1178"</definedName>
    <definedName name="IQ_ST_DEBT_DERIVATIVES" hidden="1">"c17741"</definedName>
    <definedName name="IQ_ST_DEBT_ISSUED_CM" hidden="1">"c1183"</definedName>
    <definedName name="IQ_ST_DEBT_REPAID_CM" hidden="1">"c1191"</definedName>
    <definedName name="IQ_STANDBY_LETTERS_CREDIT_THRIFT" hidden="1">"c25614"</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MUNI_OBLIGATIONS_THRIFT" hidden="1">"c24824"</definedName>
    <definedName name="IQ_STATE_OF_INC" hidden="1">"c18104"</definedName>
    <definedName name="IQ_STATES_NONTRANSACTION_ACCOUNTS_FDIC" hidden="1">"c6547"</definedName>
    <definedName name="IQ_STATES_TOTAL_DEPOSITS_FDIC" hidden="1">"c6473"</definedName>
    <definedName name="IQ_STATES_TRANSACTION_ACCOUNTS_FDIC" hidden="1">"c6539"</definedName>
    <definedName name="IQ_STOCK_ISSUED_SAVINGS_ASSOCIATION_THRIFT" hidden="1">"c25012"</definedName>
    <definedName name="IQ_STOCK_MARKET_INDEX" hidden="1">"c21101"</definedName>
    <definedName name="IQ_STOCK_RETIRED_SAVINGS_ASSOCIATION_THRIFT" hidden="1">"c25013"</definedName>
    <definedName name="IQ_STYLE_GROWTH_VALUE" hidden="1">"c19203"</definedName>
    <definedName name="IQ_STYLE_HIGH_YIELD" hidden="1">"c19204"</definedName>
    <definedName name="IQ_STYLE_MARKET_CAP" hidden="1">"c19202"</definedName>
    <definedName name="IQ_STYLE_REPORTED" hidden="1">"c19205"</definedName>
    <definedName name="IQ_SUB_DEBENTURES_THRIFT" hidden="1">"c24902"</definedName>
    <definedName name="IQ_SUB_DEBT_FDIC" hidden="1">"c6346"</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RPLUS_FDIC" hidden="1">"c6351"</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TANGIBLE_ASSETS_THRIFT" hidden="1">"c25088"</definedName>
    <definedName name="IQ_TANGIBLE_COMMON_EQUITY_THRIFT" hidden="1">"c25086"</definedName>
    <definedName name="IQ_TANGIBLE_EQUITY_RATIO_THRIFT" hidden="1">"c25084"</definedName>
    <definedName name="IQ_TANGIBLE_EQUITY_THRIFT" hidden="1">"c25087"</definedName>
    <definedName name="IQ_TANGIBLE_TIER_1_LEVERAGE_RATIO_THRIFT" hidden="1">"c25631"</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EV_EBITDA_CAPEX" hidden="1">"c17553"</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RATIO_THRIFT" hidden="1">"c25081"</definedName>
    <definedName name="IQ_TIER_1_CAPITAL_REQUIREMENT_ADJUSTED_ASSETS_THRIFT" hidden="1">"c25039"</definedName>
    <definedName name="IQ_TIER_1_CAPITAL_T1_THRIFT" hidden="1">"c25029"</definedName>
    <definedName name="IQ_TIER_1_RISK_BASED_CAPITAL_RATIO_FDIC" hidden="1">"c6746"</definedName>
    <definedName name="IQ_TIER_1_RISK_BASED_CAPITAL_RATIO_THRIFT" hidden="1">"c25083"</definedName>
    <definedName name="IQ_TIER_2_CAPITAL_T2_THRIFT" hidden="1">"c25045"</definedName>
    <definedName name="IQ_TIER_ONE_FDIC" hidden="1">"c6369"</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THAN_100K_FDIC" hidden="1">"c6465"</definedName>
    <definedName name="IQ_TIME_DEPOSITS_MORE_THAN_100K_FDIC" hidden="1">"c6470"</definedName>
    <definedName name="IQ_TIME_DEPOSITS_THRIFT" hidden="1">"c25001"</definedName>
    <definedName name="IQ_TODAY" hidden="1">0</definedName>
    <definedName name="IQ_TOTAL_1_4_FAMILY_LOANS_TOTAL_LOANS_THRIFT" hidden="1">"c25741"</definedName>
    <definedName name="IQ_TOTAL_ALLOWABLE_EXCLUSIONS_THRIFT" hidden="1">"c25567"</definedName>
    <definedName name="IQ_TOTAL_AR_CM" hidden="1">"c1231"</definedName>
    <definedName name="IQ_TOTAL_ASSETS_ADJUSTED_ASSETS_THRIFT" hidden="1">"c25030"</definedName>
    <definedName name="IQ_TOTAL_ASSETS_FDIC" hidden="1">"c6339"</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THRIFT" hidden="1">"c24894"</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CASH_DEPOSITS_INV_SEC_THRIFT" hidden="1">"c24828"</definedName>
    <definedName name="IQ_TOTAL_CHARGE_OFFS_FDIC" hidden="1">"c6603"</definedName>
    <definedName name="IQ_TOTAL_COMMON_EQUITY_THRIFT" hidden="1">"c25085"</definedName>
    <definedName name="IQ_TOTAL_COMMON_EQUITY_TOTAL_ASSETS_THRIFT" hidden="1">"c25739"</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_ISSUED_CM" hidden="1">"c1253"</definedName>
    <definedName name="IQ_TOTAL_DEBT_REPAID_CM" hidden="1">"c1260"</definedName>
    <definedName name="IQ_TOTAL_DEBT_SECURITIES_FDIC" hidden="1">"c6410"</definedName>
    <definedName name="IQ_TOTAL_DEPOSITS_FDIC" hidden="1">"c6342"</definedName>
    <definedName name="IQ_TOTAL_DEPOSITS_THRIFT" hidden="1">"c24984"</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S_FDIC" hidden="1">"c6355"</definedName>
    <definedName name="IQ_TOTAL_EQUITY_CAPITAL_INC_MINORITY_INT_THRIFT" hidden="1">"c24927"</definedName>
    <definedName name="IQ_TOTAL_EQUITY_CAPITAL_T1_THRIFT" hidden="1">"c25021"</definedName>
    <definedName name="IQ_TOTAL_EQUITY_CAPITAL_THRIFT" hidden="1">"c24925"</definedName>
    <definedName name="IQ_TOTAL_EQUITY_INV_NOT_CARRIED_FV_THRIFT" hidden="1">"c24879"</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INCLUDED_IN_TOTAL_ALLOWABLE_EXCLUSIONS_THRIFT" hidden="1">"c25568"</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NT_EXP_THRIFT" hidden="1">"c24764"</definedName>
    <definedName name="IQ_TOTAL_INT_INCOME_THRIFT" hidden="1">"c24753"</definedName>
    <definedName name="IQ_TOTAL_LEASES_TOTAL_LOANS_THRIFT" hidden="1">"c25751"</definedName>
    <definedName name="IQ_TOTAL_LIAB_CM" hidden="1">"c1278"</definedName>
    <definedName name="IQ_TOTAL_LIAB_EQUITY_FDIC" hidden="1">"c6354"</definedName>
    <definedName name="IQ_TOTAL_LIABILITIES_EQUITY_THRIFT" hidden="1">"c24928"</definedName>
    <definedName name="IQ_TOTAL_LIABILITIES_FDIC" hidden="1">"c6348"</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OANS_IN_PROCESS_FORECLOSURE_THRIFT" hidden="1">"c25310"</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OPER_EXP_CM" hidden="1">"c1284"</definedName>
    <definedName name="IQ_TOTAL_OTHER_ASSETS_THRIFT" hidden="1">"c24883"</definedName>
    <definedName name="IQ_TOTAL_OTHER_TEMP_IMPAIR_LOSS_FFIEC" hidden="1">"c25846"</definedName>
    <definedName name="IQ_TOTAL_OTHER_UNUSED_FFIEC" hidden="1">"c25858"</definedName>
    <definedName name="IQ_TOTAL_PRINCIPAL_AMT_ASSETS_COVERED_RECOURSE_OBLIGATIONS_DIRECT_CREDIT_SUBSTITUTES_THRIFT" hidden="1">"c25615"</definedName>
    <definedName name="IQ_TOTAL_RECOVERIES_FDIC" hidden="1">"c6622"</definedName>
    <definedName name="IQ_TOTAL_RECOVERIES_THRIFT" hidden="1">"c25475"</definedName>
    <definedName name="IQ_TOTAL_RESERVES" hidden="1">"c21102"</definedName>
    <definedName name="IQ_TOTAL_REV_BNK_FDIC" hidden="1">"c6786"</definedName>
    <definedName name="IQ_TOTAL_REV_CM" hidden="1">"c1303"</definedName>
    <definedName name="IQ_TOTAL_REVENUE_THRIFT" hidden="1">"c24785"</definedName>
    <definedName name="IQ_TOTAL_RISK_BASED_CAPITAL_RATIO_FDIC" hidden="1">"c6747"</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THRIFT" hidden="1">"c25079"</definedName>
    <definedName name="IQ_TOTAL_SECURITIES_FDIC" hidden="1">"c6306"</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TIME_DEPOSITS_FDIC" hidden="1">"c6497"</definedName>
    <definedName name="IQ_TOTAL_TIME_DEPOSITS_TOTAL_DEPOSITS_THRIFT" hidden="1">"c25780"</definedName>
    <definedName name="IQ_TOTAL_TIME_SAVINGS_DEPOSITS_FDIC" hidden="1">"c6498"</definedName>
    <definedName name="IQ_TOTAL_UNUSED_COMMITMENTS_FDIC" hidden="1">"c6536"</definedName>
    <definedName name="IQ_TOTAL_UNUSUAL_CM" hidden="1">"c5517"</definedName>
    <definedName name="IQ_TR_ADJ_SIZE_FINAL" hidden="1">"c16265"</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CASH_CONSID_PCT_FINAL" hidden="1">"c16268"</definedName>
    <definedName name="IQ_TR_CASH_ST_INVEST_FINAL" hidden="1">"c16266"</definedName>
    <definedName name="IQ_TR_CO_NET_PROCEEDS_ISSUE" hidden="1">"c17571"</definedName>
    <definedName name="IQ_TR_DEBT_CONSID_PCT_FINAL" hidden="1">"c16274"</definedName>
    <definedName name="IQ_TR_EARNOUTS_FINAL" hidden="1">"c16262"</definedName>
    <definedName name="IQ_TR_EX_OVER_SHARES_ISSUE" hidden="1">"c17566"</definedName>
    <definedName name="IQ_TR_GROSS_PROCEEDS_ISSUE" hidden="1">"c17568"</definedName>
    <definedName name="IQ_TR_HYBRID_CONSID_PCT_FINAL" hidden="1">"c16276"</definedName>
    <definedName name="IQ_TR_IMPLIED_EQ_BV_FINAL" hidden="1">"c16255"</definedName>
    <definedName name="IQ_TR_IMPLIED_EQ_FINAL" hidden="1">"c16253"</definedName>
    <definedName name="IQ_TR_IMPLIED_EQ_NI_LTM_FINAL" hidden="1">"c16254"</definedName>
    <definedName name="IQ_TR_IMPLIED_EV_EBIT_FINAL" hidden="1">"c16252"</definedName>
    <definedName name="IQ_TR_IMPLIED_EV_EBIT_FWD" hidden="1">"c17878"</definedName>
    <definedName name="IQ_TR_IMPLIED_EV_EBITDA_FINAL" hidden="1">"c16251"</definedName>
    <definedName name="IQ_TR_IMPLIED_EV_EBITDA_FWD" hidden="1">"c17877"</definedName>
    <definedName name="IQ_TR_IMPLIED_EV_FINAL" hidden="1">"c16249"</definedName>
    <definedName name="IQ_TR_IMPLIED_EV_REV_FINAL" hidden="1">"c16250"</definedName>
    <definedName name="IQ_TR_IMPLIED_EV_REV_FWD" hidden="1">"c17876"</definedName>
    <definedName name="IQ_TR_IPO_TRANSACTION_ID" hidden="1">"c17554"</definedName>
    <definedName name="IQ_TR_LEAD_UNDERWRITERS" hidden="1">"c17576"</definedName>
    <definedName name="IQ_TR_NET_ASSUM_LIABILITIES_FINAL" hidden="1">"c16264"</definedName>
    <definedName name="IQ_TR_OFFER_PER_SHARE_FINAL" hidden="1">"c16257"</definedName>
    <definedName name="IQ_TR_OFFER_PRICE_BV_FWD" hidden="1">"c17880"</definedName>
    <definedName name="IQ_TR_OFFER_PRICE_EARNINGS_FWD" hidden="1">"c17879"</definedName>
    <definedName name="IQ_TR_OPTIONS_CONSID_PCT_FINAL" hidden="1">"c16278"</definedName>
    <definedName name="IQ_TR_OTHER_CONSID_FINAL" hidden="1">"c16261"</definedName>
    <definedName name="IQ_TR_PCT_SOUGHT_ACQUIRED_FINAL" hidden="1">"c16256"</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REF_CONSID_PCT_FINAL" hidden="1">"c16272"</definedName>
    <definedName name="IQ_TR_PROCEEDS_EX_OVER_ISSUE" hidden="1">"c17574"</definedName>
    <definedName name="IQ_TR_REG_OVER_SHARES_ISSUE" hidden="1">"c17565"</definedName>
    <definedName name="IQ_TR_REG_OVER_VALUE_ISSUE" hidden="1">"c17572"</definedName>
    <definedName name="IQ_TR_REMAIN_MONETARY_VALUE" hidden="1">"c18099"</definedName>
    <definedName name="IQ_TR_REMAIN_NUMBER_SHARES" hidden="1">"c18101"</definedName>
    <definedName name="IQ_TR_REMAIN_PCT_SHARES" hidden="1">"c18100"</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H_NET_PROCEEDS_ISSUE" hidden="1">"c17570"</definedName>
    <definedName name="IQ_TR_SHELF_EXP_EXPIRATION_DATE" hidden="1">"c18102"</definedName>
    <definedName name="IQ_TR_SHELF_EXPIRED_DATE" hidden="1">"c18103"</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OCK_CONSID_PCT_FINAL" hidden="1">"c16270"</definedName>
    <definedName name="IQ_TR_TARGET_BV_SHARE_EST" hidden="1">"c17885"</definedName>
    <definedName name="IQ_TR_TARGET_EBIT_EST" hidden="1">"c17883"</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REVENUE_EST" hidden="1">"c17881"</definedName>
    <definedName name="IQ_TR_TOTAL_CASH_FINAL" hidden="1">"c16267"</definedName>
    <definedName name="IQ_TR_TOTAL_CONSID_SH_FINAL" hidden="1">"c16260"</definedName>
    <definedName name="IQ_TR_TOTAL_DEBT_FINAL" hidden="1">"c16273"</definedName>
    <definedName name="IQ_TR_TOTAL_EX_OVER_VALUE_ISSUE" hidden="1">"c17573"</definedName>
    <definedName name="IQ_TR_TOTAL_GROSS_TV_FINAL" hidden="1">"c16259"</definedName>
    <definedName name="IQ_TR_TOTAL_HYBRID_FINAL" hidden="1">"c16275"</definedName>
    <definedName name="IQ_TR_TOTAL_NET_TV_FINAL" hidden="1">"c16258"</definedName>
    <definedName name="IQ_TR_TOTAL_OPTIONS_BUYER_FINAL" hidden="1">"c16277"</definedName>
    <definedName name="IQ_TR_TOTAL_OPTIONS_FINAL" hidden="1">"c16263"</definedName>
    <definedName name="IQ_TR_TOTAL_PREFERRED_FINAL" hidden="1">"c16271"</definedName>
    <definedName name="IQ_TR_TOTAL_STOCK_FINAL" hidden="1">"c16269"</definedName>
    <definedName name="IQ_TR_UNDERWRITER_COMP_ISSUE" hidden="1">"c17569"</definedName>
    <definedName name="IQ_TR_UNDERWRITERS_OTHER" hidden="1">"c17577"</definedName>
    <definedName name="IQ_TRADE_BALANCE_USD" hidden="1">"c21103"</definedName>
    <definedName name="IQ_TRADING_ACCOUNT_GAINS_FEES_FDIC" hidden="1">"c6573"</definedName>
    <definedName name="IQ_TRADING_ASSETS_FDIC" hidden="1">"c6328"</definedName>
    <definedName name="IQ_TRADING_LIABILITIES_FDIC" hidden="1">"c6344"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ACTION_ACCOUNTS_FDIC" hidden="1">"c6544"</definedName>
    <definedName name="IQ_TRANSACTION_ACCOUNTS_INC_DEMAND_DEPOSITS_THRIFT" hidden="1">"c24998"</definedName>
    <definedName name="IQ_TRANSACTION_ACCOUNTS_TOTAL_DEPOSITS_THRIFT" hidden="1">"c25777"</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Y_OTHER_EQUITY_CM" hidden="1">"c1314"</definedName>
    <definedName name="IQ_TREASURY_STOCK_TRANSACTIONS_FDIC" hidden="1">"c6501"</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WELVE_MONTHS_FIXED_AND_FLOATING_FDIC" hidden="1">"c6420"</definedName>
    <definedName name="IQ_TWELVE_MONTHS_MORTGAGE_PASS_THROUGHS_FDIC" hidden="1">"c6412"</definedName>
    <definedName name="IQ_UNAMORTIZED_YIELD_ADJUSTMENTS_THRIFT" hidden="1">"c24898"</definedName>
    <definedName name="IQ_UNDIVIDED_PROFITS_FDIC" hidden="1">"c6352"</definedName>
    <definedName name="IQ_UNDRAWN_SECURITIZED" hidden="1">"c17900"</definedName>
    <definedName name="IQ_UNEARN_REV_CURRENT_CM" hidden="1">"c1324"</definedName>
    <definedName name="IQ_UNEARNED_INCOME_FDIC" hidden="1">"c6324"</definedName>
    <definedName name="IQ_UNEARNED_INCOME_FOREIGN_FDIC" hidden="1">"c6385"</definedName>
    <definedName name="IQ_UNEMPLOY_RATE" hidden="1">"c21104"</definedName>
    <definedName name="IQ_UNINSURED_DEPOSITS_THRIFT" hidden="1">"c24995"</definedName>
    <definedName name="IQ_UNPROFITABLE_INSTITUTIONS_FDIC" hidden="1">"c6722"</definedName>
    <definedName name="IQ_UNREALIZED_GAINS_AFS_EQUITY_SEC_T2_THRIFT" hidden="1">"c25040"</definedName>
    <definedName name="IQ_UNSECURED_COMMERCIAL_LOANS_THRIFT" hidden="1">"c24855"</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ED_LOAN_COMMITMENTS_FDIC" hidden="1">"c6368"</definedName>
    <definedName name="IQ_US_AGENCY_OBLIG_HTM_AMORT_COST_FFIEC" hidden="1">"c20438"</definedName>
    <definedName name="IQ_US_AGENCY_OBLIG_HTM_FAIR_VAL_FFIEC" hidden="1">"c20473"</definedName>
    <definedName name="IQ_US_AGENCY_OBLIGATIONS_AFS_AMORT_COST_FFIEC" hidden="1">"c20490"</definedName>
    <definedName name="IQ_US_AGENCY_OBLIGATIONS_AFS_FAIR_VAL_FFIEC" hidden="1">"c20455"</definedName>
    <definedName name="IQ_US_AGENCY_SPONSORED_ENTERPRISE_SEC_THRIFT" hidden="1">"c24822"</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 hidden="1">"c25671"</definedName>
    <definedName name="IQ_US_SPONSORED_AGENCY_OBLIG_AFS_AMORT_COST_FFIEC" hidden="1">"c20491"</definedName>
    <definedName name="IQ_US_SPONSORED_AGENCY_OBLIG_AFS_FAIR_VAL_FFIEC" hidden="1">"c20456"</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URITIES_FDIC" hidden="1">"c6298"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VALUATION_ALLOWANCES_FDIC" hidden="1">"c6400"</definedName>
    <definedName name="IQ_VALUE_CUSTOMER_ASSETS" hidden="1">"c20433"</definedName>
    <definedName name="IQ_VARIABLE_RATE_DEBT" hidden="1">"c17895"</definedName>
    <definedName name="IQ_VARIABLE_RATE_DEBT_PCT" hidden="1">"c18009"</definedName>
    <definedName name="IQ_VC_REVENUE_FDIC" hidden="1">"c6667"</definedName>
    <definedName name="IQ_VOLATILE_LIABILITIES_FDIC" hidden="1">"c6364"</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EEK" hidden="1">50000</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SALES_ALCOHOL" hidden="1">"c21149"</definedName>
    <definedName name="IQ_WHOLESALE_SALES_APPAREL" hidden="1">"c21150"</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URNITURE" hidden="1">"c21159"</definedName>
    <definedName name="IQ_WHOLESALE_SALES_GROCERIES" hidden="1">"c21160"</definedName>
    <definedName name="IQ_WHOLESALE_SALES_HARDWARE" hidden="1">"c21161"</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TOTAL" hidden="1">"c21170"</definedName>
    <definedName name="IQ_WRITTEN_OPTION_CONTRACTS_FDIC" hidden="1">"c6509"</definedName>
    <definedName name="IQ_WRITTEN_OPTION_CONTRACTS_FX_RISK_FDIC" hidden="1">"c6514"</definedName>
    <definedName name="IQ_WRITTEN_OPTION_CONTRACTS_NON_FX_IR_FDIC" hidden="1">"c6519"</definedName>
    <definedName name="IQ_XDIV_DATE_LIST" hidden="1">"c17416"</definedName>
    <definedName name="IQ_YIELD_CURVE_LIST" hidden="1">"c19250"</definedName>
    <definedName name="IQ_YTD" hidden="1">3000</definedName>
    <definedName name="IQ_YTDMONTH" hidden="1">130000</definedName>
    <definedName name="IQ_ZERO_COUPON_DEBT" hidden="1">"c17896"</definedName>
    <definedName name="IQ_ZERO_COUPON_DEBT_PCT" hidden="1">"c18010"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37" l="1"/>
  <c r="F6" i="37"/>
  <c r="G6" i="37"/>
  <c r="H6" i="37" s="1"/>
  <c r="I6" i="37" s="1"/>
  <c r="E6" i="37"/>
  <c r="D6" i="37"/>
  <c r="D4" i="37"/>
  <c r="E4" i="37" s="1"/>
  <c r="F4" i="37" s="1"/>
  <c r="G4" i="37" s="1"/>
  <c r="H4" i="37" s="1"/>
  <c r="I4" i="37" s="1"/>
  <c r="C10" i="36" l="1"/>
  <c r="C11" i="36" s="1"/>
  <c r="C12" i="36" s="1"/>
  <c r="C13" i="36" s="1"/>
  <c r="F5" i="35" l="1"/>
  <c r="H6" i="35"/>
  <c r="F6" i="35" s="1"/>
  <c r="H13" i="35"/>
  <c r="B14" i="35"/>
  <c r="H14" i="35"/>
  <c r="B15" i="35"/>
  <c r="B16" i="35" s="1"/>
  <c r="B17" i="35" s="1"/>
  <c r="H15" i="35"/>
  <c r="H16" i="35"/>
  <c r="H17" i="35"/>
  <c r="I20" i="35"/>
  <c r="J20" i="35"/>
  <c r="J118" i="35" s="1"/>
  <c r="I21" i="35"/>
  <c r="J21" i="35" s="1"/>
  <c r="K21" i="35" s="1"/>
  <c r="L21" i="35" s="1"/>
  <c r="M21" i="35" s="1"/>
  <c r="N21" i="35" s="1"/>
  <c r="O21" i="35" s="1"/>
  <c r="P21" i="35" s="1"/>
  <c r="Q21" i="35" s="1"/>
  <c r="R21" i="35" s="1"/>
  <c r="H23" i="35"/>
  <c r="C26" i="35"/>
  <c r="I30" i="35"/>
  <c r="I121" i="35" s="1"/>
  <c r="J30" i="35"/>
  <c r="K30" i="35"/>
  <c r="L30" i="35"/>
  <c r="M30" i="35"/>
  <c r="M121" i="35" s="1"/>
  <c r="N30" i="35"/>
  <c r="O30" i="35"/>
  <c r="O121" i="35" s="1"/>
  <c r="P30" i="35"/>
  <c r="P121" i="35" s="1"/>
  <c r="Q30" i="35"/>
  <c r="Q121" i="35" s="1"/>
  <c r="R30" i="35"/>
  <c r="R121" i="35" s="1"/>
  <c r="I31" i="35"/>
  <c r="J31" i="35"/>
  <c r="K31" i="35"/>
  <c r="L31" i="35"/>
  <c r="M31" i="35"/>
  <c r="M129" i="35" s="1"/>
  <c r="N31" i="35"/>
  <c r="N129" i="35" s="1"/>
  <c r="O31" i="35"/>
  <c r="O129" i="35" s="1"/>
  <c r="P31" i="35"/>
  <c r="P129" i="35" s="1"/>
  <c r="Q31" i="35"/>
  <c r="R31" i="35"/>
  <c r="C44" i="35"/>
  <c r="B47" i="35"/>
  <c r="I48" i="35"/>
  <c r="J48" i="35"/>
  <c r="K48" i="35"/>
  <c r="L48" i="35"/>
  <c r="M48" i="35"/>
  <c r="N48" i="35"/>
  <c r="O48" i="35"/>
  <c r="P48" i="35"/>
  <c r="Q48" i="35"/>
  <c r="R48" i="35"/>
  <c r="C62" i="35"/>
  <c r="B65" i="35"/>
  <c r="I66" i="35"/>
  <c r="J66" i="35"/>
  <c r="K66" i="35"/>
  <c r="L66" i="35"/>
  <c r="M66" i="35"/>
  <c r="N66" i="35"/>
  <c r="O66" i="35"/>
  <c r="P66" i="35"/>
  <c r="Q66" i="35"/>
  <c r="R66" i="35"/>
  <c r="C80" i="35"/>
  <c r="B83" i="35"/>
  <c r="I84" i="35"/>
  <c r="J84" i="35"/>
  <c r="K84" i="35"/>
  <c r="L84" i="35"/>
  <c r="M84" i="35"/>
  <c r="N84" i="35"/>
  <c r="O84" i="35"/>
  <c r="P84" i="35"/>
  <c r="Q84" i="35"/>
  <c r="R84" i="35"/>
  <c r="H87" i="35"/>
  <c r="C98" i="35"/>
  <c r="B101" i="35"/>
  <c r="I102" i="35"/>
  <c r="J102" i="35"/>
  <c r="K102" i="35"/>
  <c r="L102" i="35"/>
  <c r="M102" i="35"/>
  <c r="N102" i="35"/>
  <c r="O102" i="35"/>
  <c r="P102" i="35"/>
  <c r="Q102" i="35"/>
  <c r="R102" i="35"/>
  <c r="H105" i="35"/>
  <c r="H114" i="35" s="1"/>
  <c r="H118" i="35"/>
  <c r="I118" i="35"/>
  <c r="J121" i="35"/>
  <c r="K121" i="35"/>
  <c r="L121" i="35"/>
  <c r="N121" i="35"/>
  <c r="H129" i="35"/>
  <c r="H131" i="35" s="1"/>
  <c r="I129" i="35"/>
  <c r="J129" i="35"/>
  <c r="K129" i="35"/>
  <c r="L129" i="35"/>
  <c r="Q129" i="35"/>
  <c r="R129" i="35"/>
  <c r="H24" i="35" l="1"/>
  <c r="H96" i="35"/>
  <c r="I82" i="35"/>
  <c r="H51" i="35"/>
  <c r="H33" i="35"/>
  <c r="H69" i="35"/>
  <c r="H121" i="35"/>
  <c r="H123" i="35" s="1"/>
  <c r="I100" i="35"/>
  <c r="K20" i="35"/>
  <c r="B61" i="34"/>
  <c r="B60" i="34"/>
  <c r="B54" i="34"/>
  <c r="B53" i="34"/>
  <c r="B48" i="34"/>
  <c r="B43" i="34"/>
  <c r="D40" i="34"/>
  <c r="D36" i="34"/>
  <c r="D43" i="34" s="1"/>
  <c r="B36" i="34"/>
  <c r="D35" i="34"/>
  <c r="B35" i="34"/>
  <c r="H42" i="35" l="1"/>
  <c r="I28" i="35"/>
  <c r="I46" i="35"/>
  <c r="H60" i="35"/>
  <c r="I64" i="35"/>
  <c r="H78" i="35"/>
  <c r="K118" i="35"/>
  <c r="L20" i="35"/>
  <c r="I101" i="35"/>
  <c r="I83" i="35"/>
  <c r="F43" i="34"/>
  <c r="D45" i="34"/>
  <c r="D48" i="34" s="1"/>
  <c r="D34" i="31"/>
  <c r="D41" i="31" s="1"/>
  <c r="D35" i="33"/>
  <c r="D42" i="33" s="1"/>
  <c r="B47" i="33"/>
  <c r="B60" i="33"/>
  <c r="B59" i="33"/>
  <c r="B53" i="33"/>
  <c r="B52" i="33"/>
  <c r="B42" i="33"/>
  <c r="D39" i="33"/>
  <c r="B35" i="33"/>
  <c r="D34" i="33"/>
  <c r="B34" i="33"/>
  <c r="D38" i="31"/>
  <c r="D33" i="31"/>
  <c r="B51" i="31"/>
  <c r="B52" i="31"/>
  <c r="B46" i="31"/>
  <c r="B47" i="31"/>
  <c r="B41" i="31"/>
  <c r="B33" i="31"/>
  <c r="F15" i="30"/>
  <c r="D65" i="30"/>
  <c r="D44" i="30"/>
  <c r="H44" i="30" s="1"/>
  <c r="D46" i="30"/>
  <c r="H59" i="30" s="1"/>
  <c r="H46" i="30"/>
  <c r="F59" i="30" s="1"/>
  <c r="J59" i="30" s="1"/>
  <c r="D47" i="30"/>
  <c r="H47" i="30" s="1"/>
  <c r="D42" i="30"/>
  <c r="H42" i="30"/>
  <c r="G55" i="30" s="1"/>
  <c r="J55" i="30" s="1"/>
  <c r="J42" i="30"/>
  <c r="D55" i="30" s="1"/>
  <c r="D43" i="30"/>
  <c r="H43" i="30" s="1"/>
  <c r="D45" i="30"/>
  <c r="H58" i="30" s="1"/>
  <c r="H45" i="30"/>
  <c r="J45" i="30"/>
  <c r="D58" i="30" s="1"/>
  <c r="D48" i="30"/>
  <c r="H48" i="30" s="1"/>
  <c r="H30" i="30"/>
  <c r="H28" i="30"/>
  <c r="H29" i="30"/>
  <c r="G59" i="30"/>
  <c r="F55" i="30"/>
  <c r="H55" i="30"/>
  <c r="D41" i="30"/>
  <c r="H41" i="30" s="1"/>
  <c r="J41" i="30" s="1"/>
  <c r="D54" i="30" s="1"/>
  <c r="H56" i="30"/>
  <c r="H57" i="30"/>
  <c r="H31" i="30"/>
  <c r="F58" i="30"/>
  <c r="G58" i="30"/>
  <c r="J58" i="30" s="1"/>
  <c r="H32" i="30"/>
  <c r="H33" i="30"/>
  <c r="H34" i="30"/>
  <c r="H61" i="30"/>
  <c r="B48" i="30"/>
  <c r="B61" i="30"/>
  <c r="B47" i="30"/>
  <c r="B60" i="30"/>
  <c r="B46" i="30"/>
  <c r="B59" i="30" s="1"/>
  <c r="B45" i="30"/>
  <c r="B58" i="30"/>
  <c r="B44" i="30"/>
  <c r="B57" i="30"/>
  <c r="B43" i="30"/>
  <c r="B56" i="30"/>
  <c r="B42" i="30"/>
  <c r="B55" i="30" s="1"/>
  <c r="B41" i="30"/>
  <c r="B54" i="30"/>
  <c r="H27" i="30"/>
  <c r="I47" i="35" l="1"/>
  <c r="I65" i="35"/>
  <c r="I29" i="35"/>
  <c r="I32" i="35"/>
  <c r="M20" i="35"/>
  <c r="L118" i="35"/>
  <c r="G61" i="30"/>
  <c r="J48" i="30"/>
  <c r="D61" i="30" s="1"/>
  <c r="F61" i="30"/>
  <c r="J61" i="30" s="1"/>
  <c r="J47" i="30"/>
  <c r="D60" i="30" s="1"/>
  <c r="G60" i="30"/>
  <c r="F60" i="30"/>
  <c r="D44" i="33"/>
  <c r="F42" i="33"/>
  <c r="G56" i="30"/>
  <c r="J43" i="30"/>
  <c r="D56" i="30" s="1"/>
  <c r="F56" i="30"/>
  <c r="J56" i="30" s="1"/>
  <c r="D43" i="31"/>
  <c r="F41" i="31"/>
  <c r="J44" i="30"/>
  <c r="D57" i="30" s="1"/>
  <c r="F57" i="30"/>
  <c r="J57" i="30" s="1"/>
  <c r="G57" i="30"/>
  <c r="H54" i="30"/>
  <c r="J54" i="30" s="1"/>
  <c r="H60" i="30"/>
  <c r="J46" i="30"/>
  <c r="D59" i="30" s="1"/>
  <c r="D69" i="30" s="1"/>
  <c r="D50" i="34"/>
  <c r="I36" i="35" l="1"/>
  <c r="I42" i="35"/>
  <c r="I33" i="35"/>
  <c r="J28" i="35" s="1"/>
  <c r="N20" i="35"/>
  <c r="M118" i="35"/>
  <c r="D49" i="33"/>
  <c r="J60" i="30"/>
  <c r="D46" i="31"/>
  <c r="D51" i="31" s="1"/>
  <c r="D47" i="31"/>
  <c r="D52" i="31" s="1"/>
  <c r="F52" i="31" s="1"/>
  <c r="F65" i="30"/>
  <c r="D68" i="30"/>
  <c r="D47" i="33"/>
  <c r="D70" i="30"/>
  <c r="D54" i="34"/>
  <c r="D61" i="34" s="1"/>
  <c r="D53" i="34"/>
  <c r="O20" i="35" l="1"/>
  <c r="N118" i="35"/>
  <c r="J29" i="35"/>
  <c r="J32" i="35" s="1"/>
  <c r="I37" i="35"/>
  <c r="I49" i="35"/>
  <c r="D54" i="31"/>
  <c r="F51" i="31"/>
  <c r="F68" i="30"/>
  <c r="F77" i="30" s="1"/>
  <c r="D72" i="30"/>
  <c r="D74" i="30" s="1"/>
  <c r="D53" i="33"/>
  <c r="D60" i="33" s="1"/>
  <c r="D52" i="33"/>
  <c r="D55" i="33" s="1"/>
  <c r="F70" i="30"/>
  <c r="F79" i="30" s="1"/>
  <c r="F69" i="30"/>
  <c r="F78" i="30" s="1"/>
  <c r="D56" i="34"/>
  <c r="D60" i="34"/>
  <c r="F61" i="34" s="1"/>
  <c r="J36" i="35" l="1"/>
  <c r="J42" i="35"/>
  <c r="J33" i="35"/>
  <c r="K28" i="35" s="1"/>
  <c r="I38" i="35"/>
  <c r="P20" i="35"/>
  <c r="O118" i="35"/>
  <c r="F60" i="33"/>
  <c r="D77" i="30"/>
  <c r="D78" i="30"/>
  <c r="D86" i="30" s="1"/>
  <c r="D79" i="30"/>
  <c r="D87" i="30" s="1"/>
  <c r="D59" i="33"/>
  <c r="D63" i="34"/>
  <c r="F60" i="34"/>
  <c r="K29" i="35" l="1"/>
  <c r="P118" i="35"/>
  <c r="Q20" i="35"/>
  <c r="I40" i="35"/>
  <c r="J37" i="35"/>
  <c r="J38" i="35" s="1"/>
  <c r="J49" i="35"/>
  <c r="D62" i="33"/>
  <c r="F59" i="33"/>
  <c r="D81" i="30"/>
  <c r="D85" i="30"/>
  <c r="J40" i="35" l="1"/>
  <c r="R20" i="35"/>
  <c r="R118" i="35" s="1"/>
  <c r="Q118" i="35"/>
  <c r="K32" i="35"/>
  <c r="I54" i="35"/>
  <c r="I50" i="35"/>
  <c r="F85" i="30"/>
  <c r="D89" i="30"/>
  <c r="F86" i="30"/>
  <c r="F87" i="30"/>
  <c r="I60" i="35" l="1"/>
  <c r="I51" i="35"/>
  <c r="J46" i="35" s="1"/>
  <c r="K36" i="35"/>
  <c r="K42" i="35"/>
  <c r="I67" i="35"/>
  <c r="I55" i="35"/>
  <c r="K33" i="35"/>
  <c r="L28" i="35" s="1"/>
  <c r="I56" i="35" l="1"/>
  <c r="L29" i="35"/>
  <c r="L32" i="35"/>
  <c r="K37" i="35"/>
  <c r="K38" i="35"/>
  <c r="K49" i="35"/>
  <c r="J47" i="35"/>
  <c r="J54" i="35" s="1"/>
  <c r="J67" i="35" l="1"/>
  <c r="J55" i="35"/>
  <c r="L42" i="35"/>
  <c r="L36" i="35"/>
  <c r="L33" i="35"/>
  <c r="M28" i="35" s="1"/>
  <c r="J50" i="35"/>
  <c r="I58" i="35"/>
  <c r="I68" i="35" s="1"/>
  <c r="K40" i="35"/>
  <c r="I72" i="35" l="1"/>
  <c r="I69" i="35"/>
  <c r="J64" i="35" s="1"/>
  <c r="I78" i="35"/>
  <c r="L37" i="35"/>
  <c r="L49" i="35"/>
  <c r="J60" i="35"/>
  <c r="J51" i="35"/>
  <c r="K46" i="35" s="1"/>
  <c r="M29" i="35"/>
  <c r="M32" i="35" s="1"/>
  <c r="J56" i="35"/>
  <c r="K47" i="35" l="1"/>
  <c r="K50" i="35" s="1"/>
  <c r="K60" i="35" s="1"/>
  <c r="J65" i="35"/>
  <c r="I73" i="35"/>
  <c r="I74" i="35" s="1"/>
  <c r="I85" i="35"/>
  <c r="M36" i="35"/>
  <c r="M42" i="35"/>
  <c r="M33" i="35"/>
  <c r="N28" i="35" s="1"/>
  <c r="L38" i="35"/>
  <c r="J58" i="35"/>
  <c r="K54" i="35" l="1"/>
  <c r="I76" i="35"/>
  <c r="K51" i="35"/>
  <c r="L46" i="35" s="1"/>
  <c r="I86" i="35"/>
  <c r="I90" i="35" s="1"/>
  <c r="J68" i="35"/>
  <c r="N29" i="35"/>
  <c r="N32" i="35" s="1"/>
  <c r="K67" i="35"/>
  <c r="K55" i="35"/>
  <c r="L40" i="35"/>
  <c r="M49" i="35"/>
  <c r="M37" i="35"/>
  <c r="N36" i="35" l="1"/>
  <c r="N42" i="35"/>
  <c r="N33" i="35"/>
  <c r="O28" i="35" s="1"/>
  <c r="I87" i="35"/>
  <c r="J82" i="35" s="1"/>
  <c r="L47" i="35"/>
  <c r="L50" i="35" s="1"/>
  <c r="I96" i="35"/>
  <c r="I91" i="35"/>
  <c r="I92" i="35"/>
  <c r="I103" i="35"/>
  <c r="K56" i="35"/>
  <c r="M38" i="35"/>
  <c r="J72" i="35"/>
  <c r="J78" i="35"/>
  <c r="J69" i="35"/>
  <c r="K64" i="35" s="1"/>
  <c r="L54" i="35" l="1"/>
  <c r="L55" i="35" s="1"/>
  <c r="L56" i="35" s="1"/>
  <c r="L60" i="35"/>
  <c r="L51" i="35"/>
  <c r="M46" i="35" s="1"/>
  <c r="I94" i="35"/>
  <c r="I104" i="35" s="1"/>
  <c r="J83" i="35"/>
  <c r="M40" i="35"/>
  <c r="O29" i="35"/>
  <c r="O32" i="35" s="1"/>
  <c r="K65" i="35"/>
  <c r="J73" i="35"/>
  <c r="J74" i="35" s="1"/>
  <c r="J85" i="35"/>
  <c r="L67" i="35"/>
  <c r="K58" i="35"/>
  <c r="N49" i="35"/>
  <c r="N37" i="35"/>
  <c r="K68" i="35" l="1"/>
  <c r="K72" i="35" s="1"/>
  <c r="I108" i="35"/>
  <c r="I114" i="35"/>
  <c r="I105" i="35"/>
  <c r="J100" i="35" s="1"/>
  <c r="J76" i="35"/>
  <c r="J86" i="35" s="1"/>
  <c r="O42" i="35"/>
  <c r="O36" i="35"/>
  <c r="M47" i="35"/>
  <c r="M50" i="35" s="1"/>
  <c r="M60" i="35" s="1"/>
  <c r="O33" i="35"/>
  <c r="P28" i="35" s="1"/>
  <c r="L58" i="35"/>
  <c r="N38" i="35"/>
  <c r="J90" i="35" l="1"/>
  <c r="J96" i="35"/>
  <c r="M54" i="35"/>
  <c r="M55" i="35" s="1"/>
  <c r="K69" i="35"/>
  <c r="L64" i="35" s="1"/>
  <c r="K78" i="35"/>
  <c r="L65" i="35"/>
  <c r="L68" i="35" s="1"/>
  <c r="O37" i="35"/>
  <c r="O38" i="35"/>
  <c r="O49" i="35"/>
  <c r="P29" i="35"/>
  <c r="P32" i="35" s="1"/>
  <c r="M67" i="35"/>
  <c r="J87" i="35"/>
  <c r="K82" i="35" s="1"/>
  <c r="I109" i="35"/>
  <c r="I130" i="35" s="1"/>
  <c r="I122" i="35"/>
  <c r="M51" i="35"/>
  <c r="N46" i="35" s="1"/>
  <c r="J101" i="35"/>
  <c r="N40" i="35"/>
  <c r="J91" i="35"/>
  <c r="J92" i="35"/>
  <c r="J103" i="35"/>
  <c r="K73" i="35"/>
  <c r="K74" i="35"/>
  <c r="K85" i="35"/>
  <c r="M56" i="35" l="1"/>
  <c r="P42" i="35"/>
  <c r="P36" i="35"/>
  <c r="P33" i="35"/>
  <c r="Q28" i="35" s="1"/>
  <c r="L72" i="35"/>
  <c r="L78" i="35"/>
  <c r="L69" i="35"/>
  <c r="M64" i="35" s="1"/>
  <c r="I123" i="35"/>
  <c r="K76" i="35"/>
  <c r="M58" i="35"/>
  <c r="K83" i="35"/>
  <c r="K86" i="35"/>
  <c r="K90" i="35" s="1"/>
  <c r="O40" i="35"/>
  <c r="I110" i="35"/>
  <c r="I112" i="35" s="1"/>
  <c r="J94" i="35"/>
  <c r="J104" i="35" s="1"/>
  <c r="I131" i="35"/>
  <c r="N47" i="35"/>
  <c r="N50" i="35" s="1"/>
  <c r="N60" i="35" s="1"/>
  <c r="J108" i="35" l="1"/>
  <c r="J105" i="35"/>
  <c r="K100" i="35" s="1"/>
  <c r="J114" i="35"/>
  <c r="M65" i="35"/>
  <c r="K87" i="35"/>
  <c r="L82" i="35" s="1"/>
  <c r="L73" i="35"/>
  <c r="L85" i="35"/>
  <c r="N54" i="35"/>
  <c r="K96" i="35"/>
  <c r="P37" i="35"/>
  <c r="P38" i="35"/>
  <c r="P49" i="35"/>
  <c r="I136" i="35"/>
  <c r="K91" i="35"/>
  <c r="K103" i="35"/>
  <c r="Q29" i="35"/>
  <c r="Q32" i="35" s="1"/>
  <c r="N51" i="35"/>
  <c r="O46" i="35" s="1"/>
  <c r="Q36" i="35" l="1"/>
  <c r="Q42" i="35"/>
  <c r="Q33" i="35"/>
  <c r="R28" i="35" s="1"/>
  <c r="M69" i="35"/>
  <c r="N64" i="35" s="1"/>
  <c r="O47" i="35"/>
  <c r="L83" i="35"/>
  <c r="N55" i="35"/>
  <c r="N56" i="35"/>
  <c r="N67" i="35"/>
  <c r="M68" i="35"/>
  <c r="K101" i="35"/>
  <c r="P40" i="35"/>
  <c r="K92" i="35"/>
  <c r="L74" i="35"/>
  <c r="J109" i="35"/>
  <c r="J130" i="35" s="1"/>
  <c r="J110" i="35"/>
  <c r="J112" i="35" s="1"/>
  <c r="J122" i="35"/>
  <c r="J123" i="35" l="1"/>
  <c r="N58" i="35"/>
  <c r="R29" i="35"/>
  <c r="R32" i="35" s="1"/>
  <c r="O50" i="35"/>
  <c r="O60" i="35" s="1"/>
  <c r="O54" i="35"/>
  <c r="J131" i="35"/>
  <c r="N65" i="35"/>
  <c r="L76" i="35"/>
  <c r="L86" i="35" s="1"/>
  <c r="M72" i="35"/>
  <c r="M78" i="35"/>
  <c r="K94" i="35"/>
  <c r="K104" i="35" s="1"/>
  <c r="Q37" i="35"/>
  <c r="Q49" i="35"/>
  <c r="N68" i="35" l="1"/>
  <c r="N69" i="35" s="1"/>
  <c r="O64" i="35" s="1"/>
  <c r="O65" i="35" s="1"/>
  <c r="K108" i="35"/>
  <c r="K114" i="35"/>
  <c r="K105" i="35"/>
  <c r="L100" i="35" s="1"/>
  <c r="L90" i="35"/>
  <c r="L96" i="35"/>
  <c r="L87" i="35"/>
  <c r="M82" i="35" s="1"/>
  <c r="R36" i="35"/>
  <c r="R42" i="35"/>
  <c r="C42" i="35" s="1"/>
  <c r="R33" i="35"/>
  <c r="N72" i="35"/>
  <c r="N78" i="35"/>
  <c r="O55" i="35"/>
  <c r="O56" i="35"/>
  <c r="O67" i="35"/>
  <c r="J136" i="35"/>
  <c r="O51" i="35"/>
  <c r="P46" i="35" s="1"/>
  <c r="Q38" i="35"/>
  <c r="M73" i="35"/>
  <c r="M74" i="35"/>
  <c r="M85" i="35"/>
  <c r="M83" i="35" l="1"/>
  <c r="N73" i="35"/>
  <c r="N74" i="35" s="1"/>
  <c r="N85" i="35"/>
  <c r="O58" i="35"/>
  <c r="O68" i="35" s="1"/>
  <c r="R37" i="35"/>
  <c r="R49" i="35"/>
  <c r="P47" i="35"/>
  <c r="P50" i="35" s="1"/>
  <c r="P60" i="35" s="1"/>
  <c r="M76" i="35"/>
  <c r="L91" i="35"/>
  <c r="L92" i="35" s="1"/>
  <c r="L103" i="35"/>
  <c r="L101" i="35"/>
  <c r="Q40" i="35"/>
  <c r="K109" i="35"/>
  <c r="K130" i="35" s="1"/>
  <c r="K110" i="35"/>
  <c r="K112" i="35" s="1"/>
  <c r="K122" i="35"/>
  <c r="M86" i="35" l="1"/>
  <c r="N76" i="35"/>
  <c r="O72" i="35"/>
  <c r="O69" i="35"/>
  <c r="P64" i="35" s="1"/>
  <c r="O78" i="35"/>
  <c r="L94" i="35"/>
  <c r="L104" i="35" s="1"/>
  <c r="L108" i="35" s="1"/>
  <c r="M90" i="35"/>
  <c r="M96" i="35"/>
  <c r="M87" i="35"/>
  <c r="N82" i="35" s="1"/>
  <c r="P54" i="35"/>
  <c r="K123" i="35"/>
  <c r="K131" i="35"/>
  <c r="P51" i="35"/>
  <c r="Q46" i="35" s="1"/>
  <c r="R38" i="35"/>
  <c r="L109" i="35" l="1"/>
  <c r="L130" i="35" s="1"/>
  <c r="L122" i="35"/>
  <c r="K136" i="35"/>
  <c r="N83" i="35"/>
  <c r="N86" i="35"/>
  <c r="O73" i="35"/>
  <c r="O85" i="35"/>
  <c r="L105" i="35"/>
  <c r="M100" i="35" s="1"/>
  <c r="P65" i="35"/>
  <c r="Q47" i="35"/>
  <c r="Q54" i="35"/>
  <c r="Q50" i="35"/>
  <c r="Q60" i="35" s="1"/>
  <c r="R40" i="35"/>
  <c r="M91" i="35"/>
  <c r="M103" i="35"/>
  <c r="P55" i="35"/>
  <c r="P56" i="35" s="1"/>
  <c r="P67" i="35"/>
  <c r="L114" i="35"/>
  <c r="N87" i="35" l="1"/>
  <c r="O82" i="35" s="1"/>
  <c r="O83" i="35" s="1"/>
  <c r="N90" i="35"/>
  <c r="N96" i="35"/>
  <c r="P68" i="35"/>
  <c r="P72" i="35" s="1"/>
  <c r="Q55" i="35"/>
  <c r="Q56" i="35"/>
  <c r="Q67" i="35"/>
  <c r="P58" i="35"/>
  <c r="M101" i="35"/>
  <c r="Q51" i="35"/>
  <c r="R46" i="35" s="1"/>
  <c r="L123" i="35"/>
  <c r="L131" i="35"/>
  <c r="M92" i="35"/>
  <c r="O74" i="35"/>
  <c r="L110" i="35"/>
  <c r="L112" i="35" s="1"/>
  <c r="P78" i="35" l="1"/>
  <c r="R47" i="35"/>
  <c r="R54" i="35"/>
  <c r="R50" i="35"/>
  <c r="R60" i="35" s="1"/>
  <c r="C60" i="35" s="1"/>
  <c r="P69" i="35"/>
  <c r="Q64" i="35" s="1"/>
  <c r="P73" i="35"/>
  <c r="P85" i="35"/>
  <c r="M94" i="35"/>
  <c r="M104" i="35" s="1"/>
  <c r="N91" i="35"/>
  <c r="N92" i="35" s="1"/>
  <c r="N103" i="35"/>
  <c r="Q58" i="35"/>
  <c r="O76" i="35"/>
  <c r="O86" i="35" s="1"/>
  <c r="L136" i="35"/>
  <c r="M108" i="35" l="1"/>
  <c r="M114" i="35"/>
  <c r="M105" i="35"/>
  <c r="N100" i="35" s="1"/>
  <c r="O90" i="35"/>
  <c r="O96" i="35"/>
  <c r="O87" i="35"/>
  <c r="P82" i="35" s="1"/>
  <c r="N94" i="35"/>
  <c r="R67" i="35"/>
  <c r="R55" i="35"/>
  <c r="R56" i="35" s="1"/>
  <c r="R51" i="35"/>
  <c r="P74" i="35"/>
  <c r="Q65" i="35"/>
  <c r="Q68" i="35" s="1"/>
  <c r="Q72" i="35" l="1"/>
  <c r="Q78" i="35"/>
  <c r="Q69" i="35"/>
  <c r="R64" i="35" s="1"/>
  <c r="R58" i="35"/>
  <c r="P83" i="35"/>
  <c r="P86" i="35" s="1"/>
  <c r="P76" i="35"/>
  <c r="O92" i="35"/>
  <c r="O91" i="35"/>
  <c r="O103" i="35"/>
  <c r="N101" i="35"/>
  <c r="M109" i="35"/>
  <c r="M130" i="35" s="1"/>
  <c r="M110" i="35"/>
  <c r="M112" i="35" s="1"/>
  <c r="M122" i="35"/>
  <c r="O94" i="35" l="1"/>
  <c r="N104" i="35"/>
  <c r="P90" i="35"/>
  <c r="P96" i="35"/>
  <c r="R65" i="35"/>
  <c r="P87" i="35"/>
  <c r="Q82" i="35" s="1"/>
  <c r="M131" i="35"/>
  <c r="M123" i="35"/>
  <c r="M136" i="35" s="1"/>
  <c r="Q73" i="35"/>
  <c r="Q74" i="35"/>
  <c r="Q85" i="35"/>
  <c r="Q83" i="35" l="1"/>
  <c r="P91" i="35"/>
  <c r="P92" i="35"/>
  <c r="P103" i="35"/>
  <c r="Q76" i="35"/>
  <c r="R68" i="35"/>
  <c r="N108" i="35"/>
  <c r="N114" i="35"/>
  <c r="N105" i="35"/>
  <c r="O100" i="35" s="1"/>
  <c r="Q86" i="35" l="1"/>
  <c r="Q90" i="35" s="1"/>
  <c r="Q96" i="35"/>
  <c r="P94" i="35"/>
  <c r="Q87" i="35"/>
  <c r="R82" i="35" s="1"/>
  <c r="N109" i="35"/>
  <c r="N130" i="35" s="1"/>
  <c r="N131" i="35" s="1"/>
  <c r="N110" i="35"/>
  <c r="N112" i="35" s="1"/>
  <c r="N122" i="35"/>
  <c r="N123" i="35" s="1"/>
  <c r="R72" i="35"/>
  <c r="R78" i="35"/>
  <c r="C78" i="35" s="1"/>
  <c r="O101" i="35"/>
  <c r="O104" i="35"/>
  <c r="R69" i="35"/>
  <c r="O105" i="35" l="1"/>
  <c r="P100" i="35" s="1"/>
  <c r="P101" i="35" s="1"/>
  <c r="R83" i="35"/>
  <c r="R73" i="35"/>
  <c r="R85" i="35"/>
  <c r="O108" i="35"/>
  <c r="O114" i="35"/>
  <c r="N136" i="35"/>
  <c r="Q91" i="35"/>
  <c r="Q92" i="35"/>
  <c r="Q103" i="35"/>
  <c r="P104" i="35" l="1"/>
  <c r="P108" i="35" s="1"/>
  <c r="Q94" i="35"/>
  <c r="P114" i="35"/>
  <c r="O109" i="35"/>
  <c r="O130" i="35" s="1"/>
  <c r="O131" i="35" s="1"/>
  <c r="O122" i="35"/>
  <c r="O123" i="35" s="1"/>
  <c r="P105" i="35"/>
  <c r="Q100" i="35" s="1"/>
  <c r="R74" i="35"/>
  <c r="R76" i="35" l="1"/>
  <c r="R86" i="35" s="1"/>
  <c r="P109" i="35"/>
  <c r="P130" i="35" s="1"/>
  <c r="P131" i="35" s="1"/>
  <c r="P122" i="35"/>
  <c r="P123" i="35" s="1"/>
  <c r="P136" i="35" s="1"/>
  <c r="Q101" i="35"/>
  <c r="Q104" i="35" s="1"/>
  <c r="O136" i="35"/>
  <c r="O110" i="35"/>
  <c r="O112" i="35" s="1"/>
  <c r="Q108" i="35" l="1"/>
  <c r="Q114" i="35"/>
  <c r="P110" i="35"/>
  <c r="P112" i="35" s="1"/>
  <c r="Q105" i="35"/>
  <c r="R100" i="35" s="1"/>
  <c r="R90" i="35"/>
  <c r="R87" i="35"/>
  <c r="R96" i="35"/>
  <c r="C96" i="35" s="1"/>
  <c r="R91" i="35" l="1"/>
  <c r="R92" i="35"/>
  <c r="R103" i="35"/>
  <c r="R101" i="35"/>
  <c r="Q110" i="35"/>
  <c r="Q112" i="35" s="1"/>
  <c r="Q109" i="35"/>
  <c r="Q130" i="35" s="1"/>
  <c r="Q131" i="35" s="1"/>
  <c r="Q122" i="35"/>
  <c r="Q123" i="35" s="1"/>
  <c r="Q136" i="35" s="1"/>
  <c r="R94" i="35" l="1"/>
  <c r="R104" i="35" s="1"/>
  <c r="R108" i="35" l="1"/>
  <c r="R105" i="35"/>
  <c r="R114" i="35"/>
  <c r="C114" i="35" s="1"/>
  <c r="R109" i="35" l="1"/>
  <c r="R130" i="35" s="1"/>
  <c r="R122" i="35"/>
  <c r="R131" i="35" l="1"/>
  <c r="C133" i="35" s="1"/>
  <c r="C134" i="35"/>
  <c r="R123" i="35"/>
  <c r="C126" i="35"/>
  <c r="R110" i="35"/>
  <c r="R112" i="35" s="1"/>
  <c r="R136" i="35" l="1"/>
  <c r="C125" i="35"/>
</calcChain>
</file>

<file path=xl/sharedStrings.xml><?xml version="1.0" encoding="utf-8"?>
<sst xmlns="http://schemas.openxmlformats.org/spreadsheetml/2006/main" count="280" uniqueCount="119">
  <si>
    <t>TOTAL</t>
  </si>
  <si>
    <t>IRR HURDLES</t>
  </si>
  <si>
    <t xml:space="preserve">Proceeds Required </t>
  </si>
  <si>
    <t>Proceeds</t>
  </si>
  <si>
    <t>Capital Invested</t>
  </si>
  <si>
    <t>TRANSACTION</t>
  </si>
  <si>
    <t>EQUITY PARTICIPANTS</t>
  </si>
  <si>
    <t>Management Team</t>
  </si>
  <si>
    <t>Sponsor Promote</t>
  </si>
  <si>
    <t>Limited Partners</t>
  </si>
  <si>
    <t>Options</t>
  </si>
  <si>
    <t>Security</t>
  </si>
  <si>
    <t>Dollars Invested</t>
  </si>
  <si>
    <t xml:space="preserve">IRR hurdles calculated on total dollars invested. </t>
  </si>
  <si>
    <t>IRR specified by hurdles must apply to Limited Partners capital.</t>
  </si>
  <si>
    <t>MGMT Equity</t>
  </si>
  <si>
    <t>Sponsor Equity</t>
  </si>
  <si>
    <t>by LP for Hurdle</t>
  </si>
  <si>
    <t>Proceeds Required</t>
  </si>
  <si>
    <t>to Avoid LP Dilution</t>
  </si>
  <si>
    <t>Implied New Hurdle</t>
  </si>
  <si>
    <t>Rate to Vest</t>
  </si>
  <si>
    <t>PROCEEDS RECEIVED AT NEW HURDLE RATES</t>
  </si>
  <si>
    <t>New Hurdle Rates</t>
  </si>
  <si>
    <t>MGMT Proceeds</t>
  </si>
  <si>
    <t>Sponsor Proceeds</t>
  </si>
  <si>
    <t xml:space="preserve">NM </t>
  </si>
  <si>
    <t>WATERFALL</t>
  </si>
  <si>
    <t>IRR Achieved</t>
  </si>
  <si>
    <t>Proceeds Remaining</t>
  </si>
  <si>
    <t>*Matches Hurdles Equity Participation</t>
  </si>
  <si>
    <t>Sub Total</t>
  </si>
  <si>
    <t>GRAND TOTAL PROCEEDS</t>
  </si>
  <si>
    <t>*Matches Transaction Proceeds</t>
  </si>
  <si>
    <t>LP IRR Hurdle</t>
  </si>
  <si>
    <t>Second Distribution:</t>
  </si>
  <si>
    <t>First Distribution:</t>
  </si>
  <si>
    <t>Date</t>
  </si>
  <si>
    <t>At specific IRR hurdles the Management Team and Sponsor Promote will have options that vest per the IRR Hurdle schedule.</t>
  </si>
  <si>
    <t>IRR HURDLES - RECALCULATED TO AVOID LP DILUTION</t>
  </si>
  <si>
    <t>EQUITY PARTICIPATION TERMS</t>
  </si>
  <si>
    <t>*Remaining Proceeds Split Pro Rata</t>
  </si>
  <si>
    <t>COMMENTS</t>
  </si>
  <si>
    <t>Common / Options</t>
  </si>
  <si>
    <t>*Most likely a small sum contributed.</t>
  </si>
  <si>
    <t>Preferred / Common</t>
  </si>
  <si>
    <t>GP</t>
  </si>
  <si>
    <t>First</t>
  </si>
  <si>
    <t>Second</t>
  </si>
  <si>
    <t>PROCEEDS REQUIRED TO ACHIEVE HURDLES</t>
  </si>
  <si>
    <t>Third Distribution:</t>
  </si>
  <si>
    <t>Waterfall Calculation - 80/20 Split</t>
  </si>
  <si>
    <t>Waterfall Calculation - 20% Catch Up Followed by 80/20 Split</t>
  </si>
  <si>
    <t>*20% Catch Up</t>
  </si>
  <si>
    <t>Principal</t>
  </si>
  <si>
    <t>Preferred Return</t>
  </si>
  <si>
    <t>Principal + Preferred Return</t>
  </si>
  <si>
    <t>Waterfall Calculation for Three Equity Participants - Deal by Deal</t>
  </si>
  <si>
    <t>Then a 20% full catch for GP. (Equivalent to 20% of all distributions including and up to this step.)</t>
  </si>
  <si>
    <t>Waterfall Calculation - 20% Catch Up After Principal and Pref. Followed by 80/20 Split</t>
  </si>
  <si>
    <t>3. Then a 20% full catch for GP equivalent to 20% of all distributions in steps 2 and 3.</t>
  </si>
  <si>
    <t>Check (Should Zero Out)</t>
  </si>
  <si>
    <t>MOIC</t>
  </si>
  <si>
    <t>IRR</t>
  </si>
  <si>
    <t>Net</t>
  </si>
  <si>
    <t>Distributions</t>
  </si>
  <si>
    <t>Contributions</t>
  </si>
  <si>
    <t>GP Summary</t>
  </si>
  <si>
    <t>LP Summary</t>
  </si>
  <si>
    <t>PERIOD</t>
  </si>
  <si>
    <t>WATERFALL SUMMARY</t>
  </si>
  <si>
    <t>IRR Check</t>
  </si>
  <si>
    <t>Cash Flow Remaining for Distribution</t>
  </si>
  <si>
    <t>Total</t>
  </si>
  <si>
    <t>LP</t>
  </si>
  <si>
    <r>
      <rPr>
        <b/>
        <sz val="11"/>
        <color theme="1"/>
        <rFont val="Calibri"/>
        <family val="2"/>
        <scheme val="minor"/>
      </rPr>
      <t>End Balance:</t>
    </r>
    <r>
      <rPr>
        <sz val="11"/>
        <color theme="1"/>
        <rFont val="Trebuchet MS"/>
        <family val="2"/>
      </rPr>
      <t xml:space="preserve"> LP Capital Account</t>
    </r>
  </si>
  <si>
    <t>Distributions to LP</t>
  </si>
  <si>
    <t>Prior Distributions to LP</t>
  </si>
  <si>
    <t>LP Cure</t>
  </si>
  <si>
    <r>
      <rPr>
        <b/>
        <sz val="11"/>
        <color theme="1"/>
        <rFont val="Calibri"/>
        <family val="2"/>
        <scheme val="minor"/>
      </rPr>
      <t>Beg. Balance:</t>
    </r>
    <r>
      <rPr>
        <sz val="11"/>
        <color theme="1"/>
        <rFont val="Trebuchet MS"/>
        <family val="2"/>
      </rPr>
      <t xml:space="preserve"> LP Capital Account</t>
    </r>
  </si>
  <si>
    <t>Hurdle 5</t>
  </si>
  <si>
    <t>ADDED ROUND TO FORMULA (TO ZERO OUT).</t>
  </si>
  <si>
    <t>Hurdle 4</t>
  </si>
  <si>
    <t>Hurdle 3</t>
  </si>
  <si>
    <t>Hurdle 2</t>
  </si>
  <si>
    <t>GP Cure</t>
  </si>
  <si>
    <t>Hurdle 1</t>
  </si>
  <si>
    <t>Cash Flows</t>
  </si>
  <si>
    <t>Year</t>
  </si>
  <si>
    <t>NO CATCH UP</t>
  </si>
  <si>
    <t>IRR Hurdle</t>
  </si>
  <si>
    <t>LP / GP Split</t>
  </si>
  <si>
    <t>IRR Hurdles</t>
  </si>
  <si>
    <t>Total Equity</t>
  </si>
  <si>
    <t xml:space="preserve">GP </t>
  </si>
  <si>
    <t>%</t>
  </si>
  <si>
    <t>Amount</t>
  </si>
  <si>
    <t>Comments</t>
  </si>
  <si>
    <t>Real Estate Waterfall Example</t>
  </si>
  <si>
    <t>ASimpleModel.com</t>
  </si>
  <si>
    <t>LINK</t>
  </si>
  <si>
    <t>Distribution Waterfall Examples</t>
  </si>
  <si>
    <t>LBO Video Series</t>
  </si>
  <si>
    <t>Tab: 80_20</t>
  </si>
  <si>
    <t>Tab: 20% &amp; 80_20</t>
  </si>
  <si>
    <t>Tab: 20% After Principal &amp; 80_20</t>
  </si>
  <si>
    <t>Tab: IRR Hurdles</t>
  </si>
  <si>
    <t>Tab: RE Waterfall</t>
  </si>
  <si>
    <t>DISCLAIMER: 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</si>
  <si>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Return of principal to Limited Partners plus an 8% cummulative return on principal.</t>
  </si>
  <si>
    <t>1. Return of principal to Limited Partners.</t>
  </si>
  <si>
    <t>2. Plus an 8% cummulative return on principal to Limited Partners.</t>
  </si>
  <si>
    <t>8% Preferred Return</t>
  </si>
  <si>
    <t>Sum Invested</t>
  </si>
  <si>
    <t>-or-</t>
  </si>
  <si>
    <t>Then 80 / 20 split between LP / GP.</t>
  </si>
  <si>
    <t>Finally, an 80 / 20 split between LP / GP.</t>
  </si>
  <si>
    <t>4. Finally, an 80 / 20 split between LP / GP.</t>
  </si>
  <si>
    <t>Formula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</si>
</sst>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1" formatCode="_(* #,##0_);_(* \(#,##0\);_(* &quot;-&quot;_);_(@_)"/>
    <numFmt numFmtId="43" formatCode="_(* #,##0.00_);_(* \(#,##0.00\);_(* &quot;-&quot;??_);_(@_)"/>
    <numFmt numFmtId="164" formatCode="0.0%"/>
    <numFmt numFmtId="165" formatCode="[$-409]mmm\-yy;@"/>
    <numFmt numFmtId="166" formatCode="0.0%_);\(0.0%\);0.0%_);@_%_)"/>
    <numFmt numFmtId="167" formatCode="#,##0_%_);\(#,##0\)_%;#,##0_%_);@_%_)"/>
    <numFmt numFmtId="168" formatCode="&quot;$&quot;#,##0_%_);\(&quot;$&quot;#,##0\)_%;&quot;$&quot;#,##0_%_);@_%_)"/>
    <numFmt numFmtId="169" formatCode="&quot;$&quot;#,##0.00_%_);\(&quot;$&quot;#,##0.00\)_%;&quot;$&quot;#,##0.00_%_);@_%_)"/>
    <numFmt numFmtId="170" formatCode="m/d/yy_%_)"/>
    <numFmt numFmtId="171" formatCode="0_%_);\(0\)_%;0_%_);@_%_)"/>
    <numFmt numFmtId="172" formatCode="0.0\%_);\(0.0\%\);0.0\%_);@_%_)"/>
    <numFmt numFmtId="173" formatCode="_(&quot;$&quot;* #,##0_);[Red]_(&quot;$&quot;* \(#,##0\);_(&quot;$&quot;* &quot;-&quot;_);_(@_)"/>
    <numFmt numFmtId="174" formatCode="&quot;IRR Hurdle&quot;\ #"/>
    <numFmt numFmtId="175" formatCode="_(* #,##0_);[Red]_(* \(#,##0\);_(* &quot;-&quot;_);_(@_)"/>
    <numFmt numFmtId="176" formatCode="0.0\x"/>
    <numFmt numFmtId="177" formatCode="&quot;Year&quot;\ 0"/>
    <numFmt numFmtId="178" formatCode="_(* #,##0.000_);[Red]_(* \(#,##0.000\);_(* &quot;-&quot;_);_(@_)"/>
    <numFmt numFmtId="179" formatCode="0.000%"/>
    <numFmt numFmtId="180" formatCode="[$-409]d\-mmm\-yy;@"/>
  </numFmts>
  <fonts count="43">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rebuchet MS"/>
      <family val="2"/>
    </font>
    <font>
      <sz val="11"/>
      <color indexed="8"/>
      <name val="Calibri"/>
      <family val="2"/>
    </font>
    <font>
      <sz val="8"/>
      <name val="Palatino"/>
      <family val="1"/>
    </font>
    <font>
      <sz val="7"/>
      <name val="Palatino"/>
      <family val="1"/>
    </font>
    <font>
      <sz val="6"/>
      <color indexed="16"/>
      <name val="Palatino"/>
      <family val="1"/>
    </font>
    <font>
      <sz val="10"/>
      <color indexed="16"/>
      <name val="Helvetica-Black"/>
    </font>
    <font>
      <b/>
      <sz val="9"/>
      <name val="Palatino"/>
      <family val="1"/>
    </font>
    <font>
      <sz val="9"/>
      <color indexed="21"/>
      <name val="Helvetica-Black"/>
    </font>
    <font>
      <sz val="9"/>
      <name val="Helvetica-Black"/>
    </font>
    <font>
      <sz val="10"/>
      <name val="Arial"/>
      <family val="2"/>
    </font>
    <font>
      <b/>
      <sz val="10"/>
      <color indexed="8"/>
      <name val="Arial"/>
      <family val="2"/>
    </font>
    <font>
      <b/>
      <sz val="12"/>
      <color indexed="8"/>
      <name val="Arial"/>
      <family val="2"/>
    </font>
    <font>
      <u/>
      <sz val="13"/>
      <color indexed="8"/>
      <name val="Arial"/>
      <family val="2"/>
    </font>
    <font>
      <sz val="10"/>
      <color indexed="8"/>
      <name val="Arial"/>
      <family val="2"/>
    </font>
    <font>
      <sz val="11"/>
      <color theme="1"/>
      <name val="Arial"/>
      <family val="2"/>
    </font>
    <font>
      <b/>
      <sz val="11"/>
      <color theme="1"/>
      <name val="Arial"/>
      <family val="2"/>
    </font>
    <font>
      <sz val="11"/>
      <color rgb="FF0000FF"/>
      <name val="Arial"/>
      <family val="2"/>
    </font>
    <font>
      <sz val="11"/>
      <name val="Arial"/>
      <family val="2"/>
    </font>
    <font>
      <i/>
      <sz val="11"/>
      <color theme="1"/>
      <name val="Arial"/>
      <family val="2"/>
    </font>
    <font>
      <b/>
      <sz val="14"/>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0000FF"/>
      <name val="Calibri"/>
      <family val="2"/>
      <scheme val="minor"/>
    </font>
    <font>
      <sz val="10"/>
      <color theme="1"/>
      <name val="Calibri"/>
      <family val="2"/>
      <scheme val="minor"/>
    </font>
    <font>
      <sz val="10"/>
      <color rgb="FF0000FF"/>
      <name val="Calibri"/>
      <family val="2"/>
      <scheme val="minor"/>
    </font>
    <font>
      <sz val="12"/>
      <name val="Arial"/>
      <family val="2"/>
    </font>
    <font>
      <sz val="11"/>
      <name val="Calibri"/>
      <family val="2"/>
      <scheme val="minor"/>
    </font>
    <font>
      <sz val="11"/>
      <color indexed="12"/>
      <name val="Calibri"/>
      <family val="2"/>
      <scheme val="minor"/>
    </font>
    <font>
      <b/>
      <sz val="11"/>
      <color rgb="FF0000FF"/>
      <name val="Calibri"/>
      <family val="2"/>
      <scheme val="minor"/>
    </font>
    <font>
      <b/>
      <sz val="12"/>
      <color theme="0"/>
      <name val="Calibri"/>
      <family val="2"/>
      <scheme val="minor"/>
    </font>
    <font>
      <u/>
      <sz val="11"/>
      <color theme="10"/>
      <name val="Trebuchet MS"/>
      <family val="2"/>
    </font>
    <font>
      <u/>
      <sz val="11"/>
      <color theme="10"/>
      <name val="Calibri"/>
      <family val="2"/>
      <scheme val="minor"/>
    </font>
    <font>
      <sz val="26"/>
      <color rgb="FF44546A"/>
      <name val="Calibri"/>
      <family val="2"/>
      <scheme val="minor"/>
    </font>
    <font>
      <sz val="20"/>
      <color rgb="FF44546A"/>
      <name val="Calibri"/>
      <family val="2"/>
      <scheme val="minor"/>
    </font>
    <font>
      <sz val="10"/>
      <color rgb="FF44546A"/>
      <name val="Calibri"/>
      <family val="2"/>
      <scheme val="minor"/>
    </font>
    <font>
      <sz val="11"/>
      <color rgb="FF44546A"/>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indexed="8"/>
        <bgColor indexed="64"/>
      </patternFill>
    </fill>
    <fill>
      <patternFill patternType="solid">
        <fgColor indexed="16"/>
        <bgColor indexed="64"/>
      </patternFill>
    </fill>
    <fill>
      <patternFill patternType="solid">
        <fgColor indexed="43"/>
      </patternFill>
    </fill>
    <fill>
      <patternFill patternType="solid">
        <fgColor rgb="FFFFFFCC"/>
        <bgColor indexed="64"/>
      </patternFill>
    </fill>
    <fill>
      <patternFill patternType="solid">
        <fgColor theme="0" tint="-4.9989318521683403E-2"/>
        <bgColor indexed="64"/>
      </patternFill>
    </fill>
    <fill>
      <patternFill patternType="solid">
        <fgColor rgb="FF44546A"/>
        <bgColor indexed="64"/>
      </patternFill>
    </fill>
  </fills>
  <borders count="9">
    <border>
      <left/>
      <right/>
      <top/>
      <bottom/>
      <diagonal/>
    </border>
    <border>
      <left/>
      <right/>
      <top/>
      <bottom style="thin">
        <color indexed="64"/>
      </bottom>
      <diagonal/>
    </border>
    <border>
      <left style="thin">
        <color indexed="64"/>
      </left>
      <right/>
      <top/>
      <bottom/>
      <diagonal/>
    </border>
    <border>
      <left/>
      <right/>
      <top/>
      <bottom style="dotted">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2">
    <xf numFmtId="165"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9" fontId="3"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alignment horizontal="right"/>
    </xf>
    <xf numFmtId="167" fontId="7" fillId="0" borderId="0" applyFont="0" applyFill="0" applyBorder="0" applyAlignment="0" applyProtection="0">
      <alignment horizontal="right"/>
    </xf>
    <xf numFmtId="168" fontId="7" fillId="0" borderId="0" applyFont="0" applyFill="0" applyBorder="0" applyAlignment="0" applyProtection="0">
      <alignment horizontal="right"/>
    </xf>
    <xf numFmtId="169" fontId="7" fillId="0" borderId="0" applyFont="0" applyFill="0" applyBorder="0" applyAlignment="0" applyProtection="0">
      <alignment horizontal="right"/>
    </xf>
    <xf numFmtId="170" fontId="7" fillId="0" borderId="0" applyFont="0" applyFill="0" applyBorder="0" applyAlignment="0" applyProtection="0"/>
    <xf numFmtId="171" fontId="7" fillId="0" borderId="3" applyNumberFormat="0" applyFont="0" applyFill="0" applyAlignment="0" applyProtection="0"/>
    <xf numFmtId="0" fontId="8" fillId="0" borderId="0" applyFill="0" applyBorder="0" applyProtection="0">
      <alignment horizontal="left"/>
    </xf>
    <xf numFmtId="172" fontId="7" fillId="0" borderId="0" applyFont="0" applyFill="0" applyBorder="0" applyAlignment="0" applyProtection="0">
      <alignment horizontal="right"/>
    </xf>
    <xf numFmtId="0" fontId="9" fillId="0" borderId="0" applyProtection="0">
      <alignment horizontal="right"/>
    </xf>
    <xf numFmtId="0" fontId="7" fillId="0" borderId="0" applyFont="0" applyFill="0" applyBorder="0" applyAlignment="0" applyProtection="0">
      <alignment horizontal="right"/>
    </xf>
    <xf numFmtId="1" fontId="10" fillId="0" borderId="0" applyProtection="0">
      <alignment horizontal="right" vertical="center"/>
    </xf>
    <xf numFmtId="0" fontId="11" fillId="0" borderId="0" applyBorder="0" applyProtection="0">
      <alignment vertical="center"/>
    </xf>
    <xf numFmtId="171" fontId="11" fillId="0" borderId="1" applyBorder="0" applyProtection="0">
      <alignment horizontal="right" vertical="center"/>
    </xf>
    <xf numFmtId="0" fontId="12" fillId="5" borderId="0" applyBorder="0" applyProtection="0">
      <alignment horizontal="centerContinuous" vertical="center"/>
    </xf>
    <xf numFmtId="0" fontId="12" fillId="4" borderId="1" applyBorder="0" applyProtection="0">
      <alignment horizontal="centerContinuous" vertical="center"/>
    </xf>
    <xf numFmtId="0" fontId="13" fillId="0" borderId="0" applyFill="0" applyBorder="0" applyProtection="0">
      <alignment horizontal="left"/>
    </xf>
    <xf numFmtId="0" fontId="8" fillId="0" borderId="2" applyFill="0" applyBorder="0" applyProtection="0">
      <alignment horizontal="left" vertical="top"/>
    </xf>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xf numFmtId="9" fontId="14" fillId="0" borderId="0" applyFont="0" applyFill="0" applyBorder="0" applyAlignment="0" applyProtection="0"/>
    <xf numFmtId="0" fontId="15" fillId="0" borderId="0" applyNumberFormat="0" applyBorder="0" applyAlignment="0"/>
    <xf numFmtId="0" fontId="16" fillId="0" borderId="0" applyNumberFormat="0" applyBorder="0" applyAlignment="0"/>
    <xf numFmtId="0" fontId="17" fillId="0" borderId="0" applyNumberFormat="0" applyBorder="0" applyAlignment="0"/>
    <xf numFmtId="0" fontId="15" fillId="6" borderId="0" applyNumberFormat="0" applyBorder="0" applyAlignment="0"/>
    <xf numFmtId="0" fontId="18" fillId="0" borderId="0" applyNumberFormat="0" applyBorder="0" applyAlignment="0"/>
    <xf numFmtId="0" fontId="2" fillId="0" borderId="0"/>
    <xf numFmtId="0" fontId="1" fillId="0" borderId="0"/>
    <xf numFmtId="0" fontId="32" fillId="0" borderId="0"/>
    <xf numFmtId="165" fontId="37" fillId="0" borderId="0" applyNumberFormat="0" applyFill="0" applyBorder="0" applyAlignment="0" applyProtection="0"/>
    <xf numFmtId="0" fontId="38" fillId="0" borderId="0" applyNumberFormat="0" applyFill="0" applyBorder="0" applyAlignment="0" applyProtection="0"/>
  </cellStyleXfs>
  <cellXfs count="143">
    <xf numFmtId="165" fontId="0" fillId="0" borderId="0" xfId="0"/>
    <xf numFmtId="165" fontId="19" fillId="0" borderId="0" xfId="0" applyFont="1"/>
    <xf numFmtId="0" fontId="20" fillId="0" borderId="0" xfId="3" applyFont="1" applyFill="1" applyAlignment="1">
      <alignment horizontal="left"/>
    </xf>
    <xf numFmtId="165" fontId="19" fillId="0" borderId="0" xfId="0" applyFont="1" applyAlignment="1">
      <alignment horizontal="left"/>
    </xf>
    <xf numFmtId="0" fontId="19" fillId="0" borderId="0" xfId="3" applyFont="1" applyFill="1"/>
    <xf numFmtId="173" fontId="21" fillId="3" borderId="0" xfId="3" applyNumberFormat="1" applyFont="1" applyFill="1" applyAlignment="1">
      <alignment horizontal="center"/>
    </xf>
    <xf numFmtId="165" fontId="19" fillId="0" borderId="0" xfId="0" applyFont="1" applyAlignment="1">
      <alignment horizontal="center"/>
    </xf>
    <xf numFmtId="0" fontId="19" fillId="0" borderId="0" xfId="3" applyFont="1" applyFill="1" applyAlignment="1">
      <alignment horizontal="center"/>
    </xf>
    <xf numFmtId="174" fontId="20" fillId="0" borderId="0" xfId="0" applyNumberFormat="1" applyFont="1" applyAlignment="1">
      <alignment horizontal="left"/>
    </xf>
    <xf numFmtId="164" fontId="21" fillId="3" borderId="0" xfId="3" applyNumberFormat="1" applyFont="1" applyFill="1" applyAlignment="1">
      <alignment horizontal="center"/>
    </xf>
    <xf numFmtId="9" fontId="21" fillId="3" borderId="0" xfId="3" applyNumberFormat="1" applyFont="1" applyFill="1" applyAlignment="1">
      <alignment horizontal="center"/>
    </xf>
    <xf numFmtId="165" fontId="19" fillId="0" borderId="0" xfId="0" applyFont="1" applyFill="1"/>
    <xf numFmtId="9" fontId="22" fillId="0" borderId="0" xfId="3" applyNumberFormat="1" applyFont="1" applyFill="1" applyAlignment="1">
      <alignment horizontal="center"/>
    </xf>
    <xf numFmtId="174" fontId="19" fillId="0" borderId="0" xfId="0" applyNumberFormat="1" applyFont="1" applyAlignment="1">
      <alignment horizontal="left"/>
    </xf>
    <xf numFmtId="14" fontId="21" fillId="3" borderId="0" xfId="3" applyNumberFormat="1" applyFont="1" applyFill="1" applyAlignment="1">
      <alignment horizontal="center"/>
    </xf>
    <xf numFmtId="41" fontId="19" fillId="0" borderId="0" xfId="0" applyNumberFormat="1" applyFont="1"/>
    <xf numFmtId="4" fontId="19" fillId="0" borderId="0" xfId="0" applyNumberFormat="1" applyFont="1"/>
    <xf numFmtId="165" fontId="19" fillId="0" borderId="0" xfId="0" applyFont="1" applyAlignment="1"/>
    <xf numFmtId="164" fontId="19" fillId="0" borderId="0" xfId="0" applyNumberFormat="1" applyFont="1"/>
    <xf numFmtId="0" fontId="23" fillId="0" borderId="0" xfId="0" applyNumberFormat="1" applyFont="1" applyAlignment="1">
      <alignment horizontal="right"/>
    </xf>
    <xf numFmtId="165" fontId="19" fillId="2" borderId="0" xfId="0" applyFont="1" applyFill="1"/>
    <xf numFmtId="174" fontId="19" fillId="2" borderId="0" xfId="0" applyNumberFormat="1" applyFont="1" applyFill="1" applyAlignment="1">
      <alignment horizontal="left"/>
    </xf>
    <xf numFmtId="165" fontId="19" fillId="0" borderId="0" xfId="0" applyFont="1" applyFill="1" applyAlignment="1"/>
    <xf numFmtId="165" fontId="19" fillId="0" borderId="0" xfId="0" applyFont="1" applyFill="1" applyAlignment="1">
      <alignment horizontal="center"/>
    </xf>
    <xf numFmtId="164" fontId="19" fillId="0" borderId="0" xfId="0" applyNumberFormat="1" applyFont="1" applyFill="1"/>
    <xf numFmtId="41" fontId="19" fillId="0" borderId="0" xfId="0" applyNumberFormat="1" applyFont="1" applyFill="1"/>
    <xf numFmtId="165" fontId="19" fillId="0" borderId="4" xfId="0" applyFont="1" applyBorder="1"/>
    <xf numFmtId="41" fontId="19" fillId="0" borderId="4" xfId="0" applyNumberFormat="1" applyFont="1" applyBorder="1"/>
    <xf numFmtId="165" fontId="19" fillId="0" borderId="5" xfId="0" applyFont="1" applyBorder="1"/>
    <xf numFmtId="165" fontId="19" fillId="0" borderId="6" xfId="0" applyFont="1" applyBorder="1"/>
    <xf numFmtId="164" fontId="19" fillId="0" borderId="7" xfId="0" applyNumberFormat="1" applyFont="1" applyBorder="1"/>
    <xf numFmtId="165" fontId="20" fillId="0" borderId="0" xfId="0" applyFont="1"/>
    <xf numFmtId="165" fontId="24" fillId="0" borderId="0" xfId="0" applyFont="1"/>
    <xf numFmtId="174" fontId="20" fillId="0" borderId="0" xfId="0" applyNumberFormat="1" applyFont="1" applyAlignment="1">
      <alignment horizontal="center"/>
    </xf>
    <xf numFmtId="165" fontId="21" fillId="7" borderId="0" xfId="0" applyFont="1" applyFill="1"/>
    <xf numFmtId="173" fontId="21" fillId="0" borderId="0" xfId="3" applyNumberFormat="1" applyFont="1" applyFill="1" applyAlignment="1">
      <alignment horizontal="center"/>
    </xf>
    <xf numFmtId="164" fontId="21" fillId="0" borderId="0" xfId="3" applyNumberFormat="1" applyFont="1" applyFill="1" applyAlignment="1">
      <alignment horizontal="center"/>
    </xf>
    <xf numFmtId="165" fontId="19" fillId="0" borderId="0" xfId="3" applyNumberFormat="1" applyFont="1" applyFill="1" applyAlignment="1">
      <alignment horizontal="center"/>
    </xf>
    <xf numFmtId="164" fontId="19" fillId="7" borderId="0" xfId="0" applyNumberFormat="1" applyFont="1" applyFill="1"/>
    <xf numFmtId="0" fontId="1" fillId="0" borderId="0" xfId="38" applyFont="1" applyProtection="1">
      <protection locked="0"/>
    </xf>
    <xf numFmtId="0" fontId="1" fillId="0" borderId="0" xfId="38" applyFont="1" applyAlignment="1" applyProtection="1">
      <alignment horizontal="center"/>
      <protection locked="0"/>
    </xf>
    <xf numFmtId="175" fontId="1" fillId="8" borderId="0" xfId="38" applyNumberFormat="1" applyFont="1" applyFill="1" applyAlignment="1" applyProtection="1">
      <alignment horizontal="center"/>
      <protection locked="0"/>
    </xf>
    <xf numFmtId="0" fontId="1" fillId="8" borderId="0" xfId="38" applyFont="1" applyFill="1" applyAlignment="1" applyProtection="1">
      <alignment horizontal="center"/>
      <protection locked="0"/>
    </xf>
    <xf numFmtId="0" fontId="1" fillId="8" borderId="0" xfId="38" applyFont="1" applyFill="1" applyProtection="1">
      <protection locked="0"/>
    </xf>
    <xf numFmtId="175" fontId="1" fillId="8" borderId="0" xfId="38" applyNumberFormat="1" applyFont="1" applyFill="1" applyProtection="1">
      <protection locked="0"/>
    </xf>
    <xf numFmtId="176" fontId="26" fillId="8" borderId="8" xfId="38" applyNumberFormat="1" applyFont="1" applyFill="1" applyBorder="1" applyAlignment="1" applyProtection="1">
      <alignment horizontal="center"/>
      <protection locked="0"/>
    </xf>
    <xf numFmtId="175" fontId="1" fillId="8" borderId="0" xfId="38" applyNumberFormat="1" applyFont="1" applyFill="1" applyBorder="1" applyAlignment="1" applyProtection="1">
      <alignment horizontal="center"/>
      <protection locked="0"/>
    </xf>
    <xf numFmtId="0" fontId="1" fillId="8" borderId="0" xfId="38" applyFont="1" applyFill="1" applyBorder="1" applyProtection="1">
      <protection locked="0"/>
    </xf>
    <xf numFmtId="164" fontId="26" fillId="8" borderId="8" xfId="38" applyNumberFormat="1" applyFont="1" applyFill="1" applyBorder="1" applyAlignment="1" applyProtection="1">
      <alignment horizontal="center"/>
      <protection locked="0"/>
    </xf>
    <xf numFmtId="175" fontId="1" fillId="8" borderId="0" xfId="38" applyNumberFormat="1" applyFont="1" applyFill="1" applyBorder="1" applyProtection="1">
      <protection locked="0"/>
    </xf>
    <xf numFmtId="175" fontId="1" fillId="8" borderId="4" xfId="38" applyNumberFormat="1" applyFont="1" applyFill="1" applyBorder="1" applyAlignment="1" applyProtection="1">
      <alignment horizontal="center"/>
      <protection locked="0"/>
    </xf>
    <xf numFmtId="0" fontId="1" fillId="8" borderId="4" xfId="38" applyFont="1" applyFill="1" applyBorder="1" applyProtection="1">
      <protection locked="0"/>
    </xf>
    <xf numFmtId="175" fontId="1" fillId="8" borderId="4" xfId="38" applyNumberFormat="1" applyFont="1" applyFill="1" applyBorder="1" applyProtection="1">
      <protection locked="0"/>
    </xf>
    <xf numFmtId="175" fontId="1" fillId="8" borderId="0" xfId="38" applyNumberFormat="1" applyFont="1" applyFill="1" applyAlignment="1" applyProtection="1">
      <alignment horizontal="right"/>
      <protection locked="0"/>
    </xf>
    <xf numFmtId="177" fontId="1" fillId="8" borderId="0" xfId="38" applyNumberFormat="1" applyFont="1" applyFill="1" applyAlignment="1" applyProtection="1">
      <alignment horizontal="center"/>
      <protection locked="0"/>
    </xf>
    <xf numFmtId="0" fontId="26" fillId="8" borderId="0" xfId="38" applyFont="1" applyFill="1" applyProtection="1">
      <protection locked="0"/>
    </xf>
    <xf numFmtId="175" fontId="1" fillId="0" borderId="0" xfId="38" applyNumberFormat="1" applyFont="1" applyAlignment="1" applyProtection="1">
      <alignment horizontal="center"/>
      <protection locked="0"/>
    </xf>
    <xf numFmtId="175" fontId="1" fillId="0" borderId="0" xfId="38" applyNumberFormat="1" applyFont="1" applyProtection="1">
      <protection locked="0"/>
    </xf>
    <xf numFmtId="177" fontId="1" fillId="0" borderId="0" xfId="38" applyNumberFormat="1" applyFont="1" applyAlignment="1" applyProtection="1">
      <alignment horizontal="center"/>
      <protection locked="0"/>
    </xf>
    <xf numFmtId="178" fontId="26" fillId="8" borderId="0" xfId="38" applyNumberFormat="1" applyFont="1" applyFill="1" applyAlignment="1" applyProtection="1">
      <alignment horizontal="right"/>
      <protection locked="0"/>
    </xf>
    <xf numFmtId="175" fontId="26" fillId="8" borderId="0" xfId="38" applyNumberFormat="1" applyFont="1" applyFill="1" applyAlignment="1" applyProtection="1">
      <alignment horizontal="right"/>
      <protection locked="0"/>
    </xf>
    <xf numFmtId="175" fontId="1" fillId="0" borderId="0" xfId="38" applyNumberFormat="1" applyFont="1" applyFill="1" applyAlignment="1" applyProtection="1">
      <alignment horizontal="right"/>
      <protection locked="0"/>
    </xf>
    <xf numFmtId="0" fontId="1" fillId="0" borderId="0" xfId="38" applyFont="1" applyFill="1" applyProtection="1">
      <protection locked="0"/>
    </xf>
    <xf numFmtId="175" fontId="1" fillId="8" borderId="4" xfId="38" applyNumberFormat="1" applyFont="1" applyFill="1" applyBorder="1" applyAlignment="1" applyProtection="1">
      <alignment horizontal="right"/>
      <protection locked="0"/>
    </xf>
    <xf numFmtId="175" fontId="27" fillId="8" borderId="0" xfId="38" applyNumberFormat="1" applyFont="1" applyFill="1" applyAlignment="1" applyProtection="1">
      <alignment horizontal="right"/>
      <protection locked="0"/>
    </xf>
    <xf numFmtId="0" fontId="27" fillId="8" borderId="0" xfId="38" applyFont="1" applyFill="1" applyProtection="1">
      <protection locked="0"/>
    </xf>
    <xf numFmtId="175" fontId="27" fillId="0" borderId="0" xfId="38" applyNumberFormat="1" applyFont="1" applyFill="1" applyAlignment="1" applyProtection="1">
      <alignment horizontal="right"/>
      <protection locked="0"/>
    </xf>
    <xf numFmtId="0" fontId="27" fillId="0" borderId="0" xfId="38" applyFont="1" applyFill="1" applyProtection="1">
      <protection locked="0"/>
    </xf>
    <xf numFmtId="0" fontId="1" fillId="8" borderId="0" xfId="38" applyFont="1" applyFill="1" applyAlignment="1" applyProtection="1">
      <alignment horizontal="left" indent="1"/>
      <protection locked="0"/>
    </xf>
    <xf numFmtId="0" fontId="1" fillId="0" borderId="0" xfId="38" applyFont="1" applyFill="1" applyBorder="1" applyAlignment="1" applyProtection="1">
      <alignment horizontal="center"/>
      <protection locked="0"/>
    </xf>
    <xf numFmtId="0" fontId="1" fillId="0" borderId="0" xfId="38" applyFont="1" applyFill="1" applyBorder="1" applyProtection="1">
      <protection locked="0"/>
    </xf>
    <xf numFmtId="164" fontId="28" fillId="0" borderId="0" xfId="38" applyNumberFormat="1" applyFont="1" applyFill="1" applyBorder="1" applyProtection="1">
      <protection locked="0"/>
    </xf>
    <xf numFmtId="0" fontId="26" fillId="0" borderId="0" xfId="38" applyFont="1" applyFill="1" applyBorder="1" applyProtection="1">
      <protection locked="0"/>
    </xf>
    <xf numFmtId="0" fontId="26" fillId="0" borderId="0" xfId="38" applyFont="1" applyFill="1" applyProtection="1">
      <protection locked="0"/>
    </xf>
    <xf numFmtId="175" fontId="26" fillId="0" borderId="0" xfId="38" applyNumberFormat="1" applyFont="1" applyFill="1" applyAlignment="1" applyProtection="1">
      <alignment horizontal="right"/>
      <protection locked="0"/>
    </xf>
    <xf numFmtId="0" fontId="26" fillId="0" borderId="0" xfId="38" applyFont="1" applyProtection="1">
      <protection locked="0"/>
    </xf>
    <xf numFmtId="0" fontId="28" fillId="0" borderId="0" xfId="38" applyFont="1" applyFill="1" applyBorder="1" applyProtection="1">
      <protection locked="0"/>
    </xf>
    <xf numFmtId="179" fontId="1" fillId="0" borderId="0" xfId="38" applyNumberFormat="1" applyFont="1" applyAlignment="1" applyProtection="1">
      <alignment horizontal="center"/>
      <protection locked="0"/>
    </xf>
    <xf numFmtId="0" fontId="1" fillId="0" borderId="0" xfId="38" applyFont="1" applyFill="1" applyAlignment="1" applyProtection="1">
      <alignment horizontal="right"/>
      <protection locked="0"/>
    </xf>
    <xf numFmtId="10" fontId="1" fillId="0" borderId="0" xfId="38" applyNumberFormat="1" applyFont="1" applyFill="1" applyAlignment="1" applyProtection="1">
      <alignment horizontal="right"/>
      <protection locked="0"/>
    </xf>
    <xf numFmtId="175" fontId="29" fillId="7" borderId="0" xfId="38" applyNumberFormat="1" applyFont="1" applyFill="1" applyAlignment="1" applyProtection="1">
      <alignment horizontal="right"/>
      <protection locked="0"/>
    </xf>
    <xf numFmtId="180" fontId="30" fillId="0" borderId="0" xfId="38" applyNumberFormat="1" applyFont="1" applyFill="1" applyAlignment="1" applyProtection="1">
      <alignment horizontal="center"/>
      <protection locked="0"/>
    </xf>
    <xf numFmtId="180" fontId="31" fillId="0" borderId="0" xfId="38" applyNumberFormat="1" applyFont="1" applyFill="1" applyAlignment="1" applyProtection="1">
      <alignment horizontal="center"/>
      <protection locked="0"/>
    </xf>
    <xf numFmtId="0" fontId="1" fillId="0" borderId="0" xfId="38" applyFont="1" applyFill="1" applyAlignment="1" applyProtection="1">
      <alignment horizontal="left"/>
      <protection locked="0"/>
    </xf>
    <xf numFmtId="180" fontId="31" fillId="7" borderId="0" xfId="38" applyNumberFormat="1" applyFont="1" applyFill="1" applyAlignment="1" applyProtection="1">
      <alignment horizontal="center"/>
      <protection locked="0"/>
    </xf>
    <xf numFmtId="177" fontId="1" fillId="0" borderId="0" xfId="38" applyNumberFormat="1" applyFont="1" applyFill="1" applyAlignment="1" applyProtection="1">
      <alignment horizontal="center"/>
      <protection locked="0"/>
    </xf>
    <xf numFmtId="0" fontId="1" fillId="0" borderId="0" xfId="38" applyFont="1" applyFill="1" applyAlignment="1" applyProtection="1">
      <alignment horizontal="center"/>
      <protection locked="0"/>
    </xf>
    <xf numFmtId="0" fontId="1" fillId="8" borderId="1" xfId="38" applyFont="1" applyFill="1" applyBorder="1" applyAlignment="1" applyProtection="1">
      <alignment horizontal="center"/>
      <protection locked="0"/>
    </xf>
    <xf numFmtId="0" fontId="1" fillId="8" borderId="1" xfId="38" applyFont="1" applyFill="1" applyBorder="1" applyProtection="1">
      <protection locked="0"/>
    </xf>
    <xf numFmtId="0" fontId="26" fillId="8" borderId="1" xfId="38" applyFont="1" applyFill="1" applyBorder="1" applyProtection="1">
      <protection locked="0"/>
    </xf>
    <xf numFmtId="9" fontId="33" fillId="0" borderId="0" xfId="39" applyNumberFormat="1" applyFont="1" applyFill="1" applyAlignment="1">
      <alignment horizontal="center"/>
    </xf>
    <xf numFmtId="0" fontId="1" fillId="0" borderId="0" xfId="38" applyFont="1" applyFill="1"/>
    <xf numFmtId="164" fontId="29" fillId="0" borderId="0" xfId="39" applyNumberFormat="1" applyFont="1" applyFill="1" applyAlignment="1">
      <alignment horizontal="center"/>
    </xf>
    <xf numFmtId="174" fontId="26" fillId="0" borderId="0" xfId="38" applyNumberFormat="1" applyFont="1" applyFill="1" applyAlignment="1">
      <alignment horizontal="left"/>
    </xf>
    <xf numFmtId="174" fontId="1" fillId="0" borderId="0" xfId="38" applyNumberFormat="1" applyFont="1" applyFill="1" applyAlignment="1">
      <alignment horizontal="left"/>
    </xf>
    <xf numFmtId="164" fontId="33" fillId="0" borderId="0" xfId="39" applyNumberFormat="1" applyFont="1" applyFill="1" applyAlignment="1">
      <alignment horizontal="center"/>
    </xf>
    <xf numFmtId="4" fontId="1" fillId="0" borderId="0" xfId="38" applyNumberFormat="1" applyFont="1" applyProtection="1">
      <protection locked="0"/>
    </xf>
    <xf numFmtId="164" fontId="29" fillId="7" borderId="0" xfId="39" applyNumberFormat="1" applyFont="1" applyFill="1" applyAlignment="1">
      <alignment horizontal="center"/>
    </xf>
    <xf numFmtId="174" fontId="1" fillId="0" borderId="0" xfId="38" applyNumberFormat="1" applyFont="1" applyAlignment="1">
      <alignment horizontal="left"/>
    </xf>
    <xf numFmtId="175" fontId="1" fillId="0" borderId="0" xfId="38" applyNumberFormat="1" applyFont="1" applyFill="1" applyAlignment="1" applyProtection="1">
      <alignment horizontal="center"/>
      <protection locked="0"/>
    </xf>
    <xf numFmtId="0" fontId="0" fillId="0" borderId="0" xfId="39" applyFont="1" applyFill="1" applyAlignment="1">
      <alignment horizontal="center"/>
    </xf>
    <xf numFmtId="0" fontId="1" fillId="0" borderId="0" xfId="38" applyFont="1" applyAlignment="1">
      <alignment horizontal="center"/>
    </xf>
    <xf numFmtId="0" fontId="1" fillId="0" borderId="0" xfId="38" applyFont="1"/>
    <xf numFmtId="0" fontId="1" fillId="0" borderId="1" xfId="38" applyFont="1" applyBorder="1" applyAlignment="1" applyProtection="1">
      <alignment horizontal="centerContinuous"/>
      <protection locked="0"/>
    </xf>
    <xf numFmtId="0" fontId="1" fillId="0" borderId="0" xfId="38" applyFont="1" applyFill="1" applyAlignment="1">
      <alignment horizontal="center"/>
    </xf>
    <xf numFmtId="0" fontId="1" fillId="0" borderId="0" xfId="38" applyFont="1" applyFill="1" applyBorder="1"/>
    <xf numFmtId="0" fontId="1" fillId="8" borderId="1" xfId="38" applyFont="1" applyFill="1" applyBorder="1"/>
    <xf numFmtId="0" fontId="26" fillId="8" borderId="1" xfId="38" applyFont="1" applyFill="1" applyBorder="1"/>
    <xf numFmtId="9" fontId="34" fillId="0" borderId="0" xfId="38" applyNumberFormat="1" applyFont="1" applyFill="1" applyBorder="1" applyAlignment="1" applyProtection="1">
      <alignment horizontal="center"/>
      <protection locked="0"/>
    </xf>
    <xf numFmtId="6" fontId="33" fillId="0" borderId="0" xfId="38" applyNumberFormat="1" applyFont="1" applyFill="1" applyAlignment="1" applyProtection="1">
      <alignment horizontal="center"/>
      <protection locked="0"/>
    </xf>
    <xf numFmtId="164" fontId="34" fillId="0" borderId="0" xfId="38" applyNumberFormat="1" applyFont="1" applyFill="1" applyAlignment="1" applyProtection="1">
      <alignment horizontal="center"/>
      <protection locked="0"/>
    </xf>
    <xf numFmtId="9" fontId="34" fillId="0" borderId="0" xfId="38" applyNumberFormat="1" applyFont="1" applyAlignment="1" applyProtection="1">
      <alignment horizontal="center"/>
      <protection locked="0"/>
    </xf>
    <xf numFmtId="164" fontId="33" fillId="0" borderId="4" xfId="38" applyNumberFormat="1" applyFont="1" applyFill="1" applyBorder="1" applyAlignment="1" applyProtection="1">
      <alignment horizontal="center"/>
      <protection locked="0"/>
    </xf>
    <xf numFmtId="6" fontId="35" fillId="0" borderId="4" xfId="38" applyNumberFormat="1" applyFont="1" applyFill="1" applyBorder="1" applyAlignment="1" applyProtection="1">
      <alignment horizontal="center"/>
      <protection locked="0"/>
    </xf>
    <xf numFmtId="6" fontId="35" fillId="7" borderId="4" xfId="38" applyNumberFormat="1" applyFont="1" applyFill="1" applyBorder="1" applyAlignment="1" applyProtection="1">
      <alignment horizontal="center"/>
      <protection locked="0"/>
    </xf>
    <xf numFmtId="0" fontId="26" fillId="0" borderId="4" xfId="38" applyFont="1" applyFill="1" applyBorder="1" applyProtection="1">
      <protection locked="0"/>
    </xf>
    <xf numFmtId="164" fontId="33" fillId="0" borderId="0" xfId="38" applyNumberFormat="1" applyFont="1" applyFill="1" applyAlignment="1" applyProtection="1">
      <alignment horizontal="center"/>
      <protection locked="0"/>
    </xf>
    <xf numFmtId="164" fontId="34" fillId="7" borderId="0" xfId="38" applyNumberFormat="1" applyFont="1" applyFill="1" applyAlignment="1" applyProtection="1">
      <alignment horizontal="center"/>
      <protection locked="0"/>
    </xf>
    <xf numFmtId="0" fontId="26" fillId="8" borderId="1" xfId="38" applyFont="1" applyFill="1" applyBorder="1" applyAlignment="1" applyProtection="1">
      <alignment horizontal="center"/>
      <protection locked="0"/>
    </xf>
    <xf numFmtId="0" fontId="36" fillId="9" borderId="0" xfId="38" applyFont="1" applyFill="1" applyProtection="1">
      <protection locked="0"/>
    </xf>
    <xf numFmtId="0" fontId="27" fillId="9" borderId="0" xfId="38" applyFont="1" applyFill="1" applyProtection="1">
      <protection locked="0"/>
    </xf>
    <xf numFmtId="0" fontId="27" fillId="9" borderId="0" xfId="38" applyFont="1" applyFill="1" applyAlignment="1" applyProtection="1">
      <alignment horizontal="center"/>
      <protection locked="0"/>
    </xf>
    <xf numFmtId="0" fontId="25" fillId="9" borderId="0" xfId="38" applyFont="1" applyFill="1" applyBorder="1" applyProtection="1">
      <protection locked="0"/>
    </xf>
    <xf numFmtId="164" fontId="25" fillId="9" borderId="0" xfId="38" applyNumberFormat="1" applyFont="1" applyFill="1" applyBorder="1" applyProtection="1">
      <protection locked="0"/>
    </xf>
    <xf numFmtId="0" fontId="27" fillId="9" borderId="0" xfId="38" applyFont="1" applyFill="1" applyBorder="1" applyProtection="1">
      <protection locked="0"/>
    </xf>
    <xf numFmtId="0" fontId="27" fillId="9" borderId="0" xfId="38" applyFont="1" applyFill="1" applyBorder="1" applyAlignment="1" applyProtection="1">
      <alignment horizontal="center"/>
      <protection locked="0"/>
    </xf>
    <xf numFmtId="164" fontId="25" fillId="9" borderId="0" xfId="38" applyNumberFormat="1" applyFont="1" applyFill="1" applyBorder="1" applyAlignment="1" applyProtection="1">
      <alignment horizontal="center"/>
      <protection locked="0"/>
    </xf>
    <xf numFmtId="0" fontId="1" fillId="0" borderId="0" xfId="38"/>
    <xf numFmtId="0" fontId="1" fillId="0" borderId="0" xfId="38" applyAlignment="1">
      <alignment horizontal="center"/>
    </xf>
    <xf numFmtId="0" fontId="39" fillId="0" borderId="0" xfId="38" applyFont="1"/>
    <xf numFmtId="0" fontId="40" fillId="0" borderId="0" xfId="38" applyFont="1"/>
    <xf numFmtId="0" fontId="41" fillId="0" borderId="0" xfId="38" applyFont="1"/>
    <xf numFmtId="0" fontId="42" fillId="9" borderId="0" xfId="38" applyFont="1" applyFill="1"/>
    <xf numFmtId="0" fontId="37" fillId="0" borderId="0" xfId="40" applyNumberFormat="1" applyAlignment="1">
      <alignment horizontal="center"/>
    </xf>
    <xf numFmtId="0" fontId="1" fillId="2" borderId="0" xfId="38" applyFont="1" applyFill="1" applyProtection="1">
      <protection locked="0"/>
    </xf>
    <xf numFmtId="164" fontId="26" fillId="2" borderId="8" xfId="38" applyNumberFormat="1" applyFont="1" applyFill="1" applyBorder="1" applyAlignment="1" applyProtection="1">
      <alignment horizontal="center"/>
      <protection locked="0"/>
    </xf>
    <xf numFmtId="175" fontId="1" fillId="2" borderId="0" xfId="38" applyNumberFormat="1" applyFont="1" applyFill="1" applyAlignment="1" applyProtection="1">
      <alignment horizontal="right"/>
      <protection locked="0"/>
    </xf>
    <xf numFmtId="164" fontId="26" fillId="2" borderId="0" xfId="38" applyNumberFormat="1" applyFont="1" applyFill="1" applyBorder="1" applyAlignment="1" applyProtection="1">
      <alignment horizontal="center"/>
      <protection locked="0"/>
    </xf>
    <xf numFmtId="14" fontId="19" fillId="2" borderId="0" xfId="0" applyNumberFormat="1" applyFont="1" applyFill="1" applyAlignment="1">
      <alignment horizontal="center"/>
    </xf>
    <xf numFmtId="41" fontId="0" fillId="0" borderId="0" xfId="0" applyNumberFormat="1"/>
    <xf numFmtId="164" fontId="0" fillId="0" borderId="0" xfId="0" applyNumberFormat="1"/>
    <xf numFmtId="165" fontId="0" fillId="0" borderId="0" xfId="0" quotePrefix="1"/>
    <xf numFmtId="0" fontId="30" fillId="0" borderId="0" xfId="38" applyFont="1" applyAlignment="1">
      <alignment vertical="top" wrapText="1"/>
    </xf>
  </cellXfs>
  <cellStyles count="42">
    <cellStyle name="Comma 0" xfId="11" xr:uid="{00000000-0005-0000-0000-000000000000}"/>
    <cellStyle name="Comma 2" xfId="1" xr:uid="{00000000-0005-0000-0000-000001000000}"/>
    <cellStyle name="Comma 2 2" xfId="27" xr:uid="{00000000-0005-0000-0000-000002000000}"/>
    <cellStyle name="Comma 3" xfId="5" xr:uid="{00000000-0005-0000-0000-000003000000}"/>
    <cellStyle name="Comma 4" xfId="28" xr:uid="{00000000-0005-0000-0000-000004000000}"/>
    <cellStyle name="Comma 5" xfId="29" xr:uid="{00000000-0005-0000-0000-000005000000}"/>
    <cellStyle name="Currency 0" xfId="12" xr:uid="{00000000-0005-0000-0000-000006000000}"/>
    <cellStyle name="Currency 2" xfId="13" xr:uid="{00000000-0005-0000-0000-000007000000}"/>
    <cellStyle name="Date Aligned" xfId="14" xr:uid="{00000000-0005-0000-0000-000008000000}"/>
    <cellStyle name="Dotted Line" xfId="15" xr:uid="{00000000-0005-0000-0000-000009000000}"/>
    <cellStyle name="Footnote" xfId="16" xr:uid="{00000000-0005-0000-0000-00000A000000}"/>
    <cellStyle name="Hard Percent" xfId="17" xr:uid="{00000000-0005-0000-0000-00000B000000}"/>
    <cellStyle name="Header" xfId="18" xr:uid="{00000000-0005-0000-0000-00000C000000}"/>
    <cellStyle name="Hyperlink" xfId="40" builtinId="8"/>
    <cellStyle name="Hyperlink 2" xfId="41" xr:uid="{9F55D3E1-042D-48A0-A9FB-21DA9280F497}"/>
    <cellStyle name="Multiple" xfId="19" xr:uid="{00000000-0005-0000-0000-00000D000000}"/>
    <cellStyle name="Normal" xfId="0" builtinId="0"/>
    <cellStyle name="Normal 2" xfId="3" xr:uid="{00000000-0005-0000-0000-00000F000000}"/>
    <cellStyle name="Normal 2 2" xfId="30" xr:uid="{00000000-0005-0000-0000-000010000000}"/>
    <cellStyle name="Normal 2 3" xfId="39" xr:uid="{36CA871C-2F14-4D26-8BB5-2A3127D80653}"/>
    <cellStyle name="Normal 3" xfId="4" xr:uid="{00000000-0005-0000-0000-000011000000}"/>
    <cellStyle name="Normal 4" xfId="7" xr:uid="{00000000-0005-0000-0000-000012000000}"/>
    <cellStyle name="Normal 5" xfId="9" xr:uid="{00000000-0005-0000-0000-000013000000}"/>
    <cellStyle name="Normal 6" xfId="37" xr:uid="{00000000-0005-0000-0000-000014000000}"/>
    <cellStyle name="Normal 7" xfId="38" xr:uid="{12881291-9D1F-467F-82B2-13D8A14A9F09}"/>
    <cellStyle name="Page Number" xfId="20" xr:uid="{00000000-0005-0000-0000-000015000000}"/>
    <cellStyle name="Percent 2" xfId="2" xr:uid="{00000000-0005-0000-0000-000016000000}"/>
    <cellStyle name="Percent 2 2" xfId="31" xr:uid="{00000000-0005-0000-0000-000017000000}"/>
    <cellStyle name="Percent 3" xfId="6" xr:uid="{00000000-0005-0000-0000-000018000000}"/>
    <cellStyle name="Percent 4" xfId="8" xr:uid="{00000000-0005-0000-0000-000019000000}"/>
    <cellStyle name="Percent 5" xfId="10" xr:uid="{00000000-0005-0000-0000-00001A000000}"/>
    <cellStyle name="STYLE1" xfId="32" xr:uid="{00000000-0005-0000-0000-00001B000000}"/>
    <cellStyle name="STYLE2" xfId="33" xr:uid="{00000000-0005-0000-0000-00001C000000}"/>
    <cellStyle name="STYLE3" xfId="34" xr:uid="{00000000-0005-0000-0000-00001D000000}"/>
    <cellStyle name="STYLE4" xfId="35" xr:uid="{00000000-0005-0000-0000-00001E000000}"/>
    <cellStyle name="STYLE5" xfId="36" xr:uid="{00000000-0005-0000-0000-00001F000000}"/>
    <cellStyle name="Table Head" xfId="21" xr:uid="{00000000-0005-0000-0000-000020000000}"/>
    <cellStyle name="Table Head Aligned" xfId="22" xr:uid="{00000000-0005-0000-0000-000021000000}"/>
    <cellStyle name="Table Head Blue" xfId="23" xr:uid="{00000000-0005-0000-0000-000022000000}"/>
    <cellStyle name="Table Head Green" xfId="24" xr:uid="{00000000-0005-0000-0000-000023000000}"/>
    <cellStyle name="Table Title" xfId="25" xr:uid="{00000000-0005-0000-0000-000024000000}"/>
    <cellStyle name="Table Units" xfId="26" xr:uid="{00000000-0005-0000-0000-000025000000}"/>
  </cellStyles>
  <dxfs count="0"/>
  <tableStyles count="0" defaultTableStyle="TableStyleMedium9" defaultPivotStyle="PivotStyleLight16"/>
  <colors>
    <mruColors>
      <color rgb="FF44546A"/>
      <color rgb="FF333399"/>
      <color rgb="FFFFFFCC"/>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Lynch Model Build">
      <a:dk1>
        <a:sysClr val="windowText" lastClr="000000"/>
      </a:dk1>
      <a:lt1>
        <a:sysClr val="window" lastClr="FFFFFF"/>
      </a:lt1>
      <a:dk2>
        <a:srgbClr val="000099"/>
      </a:dk2>
      <a:lt2>
        <a:srgbClr val="FFFFCC"/>
      </a:lt2>
      <a:accent1>
        <a:srgbClr val="0000CC"/>
      </a:accent1>
      <a:accent2>
        <a:srgbClr val="33CC33"/>
      </a:accent2>
      <a:accent3>
        <a:srgbClr val="FF0000"/>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F60B-1FAF-49EB-B48C-BC7E9C762DCA}">
  <dimension ref="C1:E15"/>
  <sheetViews>
    <sheetView showGridLines="0" tabSelected="1" workbookViewId="0"/>
  </sheetViews>
  <sheetFormatPr defaultRowHeight="14.25"/>
  <cols>
    <col min="1" max="1" width="1.59765625" style="127" customWidth="1"/>
    <col min="2" max="2" width="9.06640625" style="127"/>
    <col min="3" max="3" width="5.59765625" style="127" customWidth="1"/>
    <col min="4" max="4" width="50.59765625" style="127" customWidth="1"/>
    <col min="5" max="5" width="20.59765625" style="127" customWidth="1"/>
    <col min="6" max="16384" width="9.06640625" style="127"/>
  </cols>
  <sheetData>
    <row r="1" spans="3:5" ht="5" customHeight="1"/>
    <row r="3" spans="3:5" ht="33.4">
      <c r="C3" s="129" t="s">
        <v>101</v>
      </c>
    </row>
    <row r="4" spans="3:5" ht="25.5">
      <c r="C4" s="130" t="s">
        <v>102</v>
      </c>
    </row>
    <row r="5" spans="3:5">
      <c r="C5" s="131" t="s">
        <v>99</v>
      </c>
    </row>
    <row r="6" spans="3:5" ht="5" customHeight="1"/>
    <row r="7" spans="3:5" ht="5" customHeight="1">
      <c r="C7" s="132"/>
      <c r="D7" s="132"/>
      <c r="E7" s="132"/>
    </row>
    <row r="8" spans="3:5" ht="5" customHeight="1"/>
    <row r="9" spans="3:5">
      <c r="C9" s="128">
        <v>1</v>
      </c>
      <c r="D9" s="127" t="s">
        <v>103</v>
      </c>
      <c r="E9" s="133" t="s">
        <v>100</v>
      </c>
    </row>
    <row r="10" spans="3:5">
      <c r="C10" s="128">
        <f>+C9+1</f>
        <v>2</v>
      </c>
      <c r="D10" s="127" t="s">
        <v>104</v>
      </c>
      <c r="E10" s="133" t="s">
        <v>100</v>
      </c>
    </row>
    <row r="11" spans="3:5">
      <c r="C11" s="128">
        <f t="shared" ref="C11:C13" si="0">+C10+1</f>
        <v>3</v>
      </c>
      <c r="D11" s="127" t="s">
        <v>105</v>
      </c>
      <c r="E11" s="133" t="s">
        <v>100</v>
      </c>
    </row>
    <row r="12" spans="3:5">
      <c r="C12" s="128">
        <f t="shared" si="0"/>
        <v>4</v>
      </c>
      <c r="D12" s="127" t="s">
        <v>106</v>
      </c>
      <c r="E12" s="133" t="s">
        <v>100</v>
      </c>
    </row>
    <row r="13" spans="3:5">
      <c r="C13" s="128">
        <f t="shared" si="0"/>
        <v>5</v>
      </c>
      <c r="D13" s="127" t="s">
        <v>107</v>
      </c>
      <c r="E13" s="133" t="s">
        <v>100</v>
      </c>
    </row>
    <row r="15" spans="3:5" ht="60" customHeight="1">
      <c r="C15" s="142" t="s">
        <v>108</v>
      </c>
      <c r="D15" s="142"/>
      <c r="E15" s="142"/>
    </row>
  </sheetData>
  <mergeCells count="1">
    <mergeCell ref="C15:E15"/>
  </mergeCells>
  <hyperlinks>
    <hyperlink ref="E9" location="'80_20'!A1" display="LINK" xr:uid="{58657C5A-6D57-4A74-A497-CB34B95B8422}"/>
    <hyperlink ref="E10" location="'20% &amp; 80_20'!A1" display="LINK" xr:uid="{2A9C6F97-94D5-4BAC-BD6D-FE5A1A7E741A}"/>
    <hyperlink ref="E11" location="'20% After Principal &amp; 80_20'!A1" display="LINK" xr:uid="{DB8ABEEC-D10B-4602-AEDD-A84033C8E7EF}"/>
    <hyperlink ref="E12" location="'IRR Hurdles'!A1" display="LINK" xr:uid="{03025AD8-90FE-48B7-A007-713072B97439}"/>
    <hyperlink ref="E13" location="'RE Waterfall'!A1" display="LINK" xr:uid="{71E88597-49BE-41E0-A040-F1EF6B90ED3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4"/>
  <sheetViews>
    <sheetView showGridLines="0" zoomScale="75" zoomScaleNormal="75" workbookViewId="0"/>
  </sheetViews>
  <sheetFormatPr defaultColWidth="9" defaultRowHeight="13.5"/>
  <cols>
    <col min="1" max="1" width="1.59765625" style="1" customWidth="1"/>
    <col min="2" max="2" width="22" style="1" bestFit="1" customWidth="1"/>
    <col min="3" max="3" width="1.59765625" style="1" customWidth="1"/>
    <col min="4" max="4" width="15.59765625" style="1" customWidth="1"/>
    <col min="5" max="5" width="1.59765625" style="1" customWidth="1"/>
    <col min="6" max="8" width="15.59765625" style="1" customWidth="1"/>
    <col min="9" max="9" width="1.59765625" style="1" customWidth="1"/>
    <col min="10" max="10" width="15.59765625" style="1" customWidth="1"/>
    <col min="11" max="11" width="1.59765625" style="11" customWidth="1"/>
    <col min="12" max="12" width="31.86328125" style="1" customWidth="1"/>
    <col min="13" max="16384" width="9" style="1"/>
  </cols>
  <sheetData>
    <row r="1" spans="2:12" ht="5.0999999999999996" customHeight="1"/>
    <row r="2" spans="2:12" ht="17.649999999999999">
      <c r="B2" s="32" t="s">
        <v>51</v>
      </c>
    </row>
    <row r="3" spans="2:12" ht="5.0999999999999996" customHeight="1"/>
    <row r="4" spans="2:12">
      <c r="B4" s="20" t="s">
        <v>5</v>
      </c>
      <c r="C4" s="20"/>
      <c r="D4" s="20"/>
      <c r="E4" s="20"/>
      <c r="F4" s="20"/>
      <c r="G4" s="20"/>
      <c r="H4" s="20"/>
      <c r="I4" s="20"/>
      <c r="J4" s="20"/>
      <c r="L4" s="20" t="s">
        <v>42</v>
      </c>
    </row>
    <row r="5" spans="2:12" ht="5.0999999999999996" customHeight="1"/>
    <row r="6" spans="2:12">
      <c r="F6" s="6" t="s">
        <v>37</v>
      </c>
    </row>
    <row r="7" spans="2:12" ht="13.9">
      <c r="B7" s="2" t="s">
        <v>4</v>
      </c>
      <c r="C7" s="2"/>
      <c r="D7" s="5">
        <v>-10000000</v>
      </c>
      <c r="F7" s="14">
        <v>44196</v>
      </c>
    </row>
    <row r="8" spans="2:12" ht="5.0999999999999996" customHeight="1">
      <c r="B8" s="3"/>
      <c r="C8" s="3"/>
      <c r="D8" s="4"/>
    </row>
    <row r="9" spans="2:12" ht="13.9">
      <c r="B9" s="2" t="s">
        <v>3</v>
      </c>
      <c r="C9" s="2"/>
      <c r="D9" s="5">
        <v>30000000</v>
      </c>
      <c r="F9" s="14">
        <v>46022</v>
      </c>
    </row>
    <row r="10" spans="2:12" ht="5.0999999999999996" customHeight="1"/>
    <row r="11" spans="2:12">
      <c r="B11" s="20" t="s">
        <v>6</v>
      </c>
      <c r="C11" s="20"/>
      <c r="D11" s="20"/>
      <c r="E11" s="20"/>
      <c r="F11" s="20"/>
      <c r="G11" s="20"/>
      <c r="H11" s="20"/>
      <c r="I11" s="20"/>
      <c r="J11" s="20"/>
    </row>
    <row r="12" spans="2:12" ht="5.0999999999999996" customHeight="1">
      <c r="D12" s="6"/>
      <c r="F12" s="23"/>
    </row>
    <row r="13" spans="2:12">
      <c r="B13" s="34" t="s">
        <v>46</v>
      </c>
      <c r="F13" s="35"/>
    </row>
    <row r="14" spans="2:12">
      <c r="B14" s="34" t="s">
        <v>9</v>
      </c>
      <c r="F14" s="35"/>
    </row>
    <row r="15" spans="2:12" ht="5.0999999999999996" customHeight="1"/>
    <row r="16" spans="2:12">
      <c r="B16" s="20" t="s">
        <v>40</v>
      </c>
      <c r="C16" s="20"/>
      <c r="D16" s="20"/>
      <c r="E16" s="20"/>
      <c r="F16" s="20"/>
      <c r="G16" s="20"/>
      <c r="H16" s="20"/>
      <c r="I16" s="20"/>
      <c r="J16" s="20"/>
    </row>
    <row r="17" spans="2:12" ht="5.0999999999999996" customHeight="1"/>
    <row r="18" spans="2:12">
      <c r="B18" s="1" t="s">
        <v>109</v>
      </c>
    </row>
    <row r="19" spans="2:12">
      <c r="B19" s="1" t="s">
        <v>115</v>
      </c>
    </row>
    <row r="20" spans="2:12" ht="5.0999999999999996" customHeight="1"/>
    <row r="21" spans="2:12">
      <c r="B21" s="20" t="s">
        <v>1</v>
      </c>
      <c r="C21" s="20"/>
      <c r="D21" s="20"/>
      <c r="E21" s="20"/>
      <c r="F21" s="20"/>
      <c r="G21" s="20"/>
      <c r="H21" s="20"/>
      <c r="I21" s="20"/>
      <c r="J21" s="20"/>
    </row>
    <row r="22" spans="2:12" ht="5.0999999999999996" customHeight="1"/>
    <row r="23" spans="2:12">
      <c r="D23" s="6" t="s">
        <v>34</v>
      </c>
      <c r="F23" s="37"/>
      <c r="H23" s="7"/>
      <c r="J23" s="7"/>
      <c r="K23" s="7"/>
      <c r="L23" s="7"/>
    </row>
    <row r="24" spans="2:12" ht="5.0999999999999996" customHeight="1">
      <c r="D24" s="6"/>
      <c r="F24" s="7"/>
      <c r="H24" s="7"/>
      <c r="J24" s="7"/>
      <c r="K24" s="7"/>
      <c r="L24" s="7"/>
    </row>
    <row r="25" spans="2:12" ht="13.9">
      <c r="B25" s="13" t="s">
        <v>54</v>
      </c>
      <c r="C25" s="8"/>
      <c r="D25" s="9">
        <v>0</v>
      </c>
      <c r="F25" s="36"/>
      <c r="H25" s="12"/>
      <c r="J25" s="12"/>
      <c r="K25" s="12"/>
      <c r="L25" s="12"/>
    </row>
    <row r="26" spans="2:12" ht="13.9">
      <c r="B26" s="13" t="s">
        <v>55</v>
      </c>
      <c r="C26" s="8"/>
      <c r="D26" s="9">
        <v>0.08</v>
      </c>
      <c r="F26" s="36"/>
      <c r="H26" s="12"/>
      <c r="J26" s="12"/>
      <c r="K26" s="12"/>
      <c r="L26" s="12"/>
    </row>
    <row r="27" spans="2:12" ht="5.0999999999999996" customHeight="1"/>
    <row r="28" spans="2:12">
      <c r="B28" s="20" t="s">
        <v>49</v>
      </c>
      <c r="C28" s="20"/>
      <c r="D28" s="20"/>
      <c r="E28" s="20"/>
      <c r="F28" s="20"/>
      <c r="G28" s="20"/>
      <c r="H28" s="20"/>
      <c r="I28" s="20"/>
      <c r="J28" s="20"/>
    </row>
    <row r="29" spans="2:12" ht="5.0999999999999996" customHeight="1"/>
    <row r="30" spans="2:12">
      <c r="D30" s="6" t="s">
        <v>2</v>
      </c>
      <c r="H30" s="6"/>
      <c r="J30" s="17"/>
      <c r="K30" s="22"/>
    </row>
    <row r="31" spans="2:12">
      <c r="D31" s="6" t="s">
        <v>17</v>
      </c>
      <c r="H31" s="6"/>
      <c r="J31" s="6"/>
      <c r="K31" s="23"/>
    </row>
    <row r="32" spans="2:12" ht="5.0999999999999996" customHeight="1">
      <c r="D32" s="6"/>
    </row>
    <row r="33" spans="2:12">
      <c r="B33" s="13" t="str">
        <f>B25</f>
        <v>Principal</v>
      </c>
      <c r="D33" s="15">
        <f>-D7</f>
        <v>10000000</v>
      </c>
      <c r="H33" s="15"/>
      <c r="J33" s="18"/>
      <c r="K33" s="24"/>
    </row>
    <row r="34" spans="2:12">
      <c r="B34" s="13" t="s">
        <v>56</v>
      </c>
      <c r="D34" s="15">
        <f>-$D$7*(1+D26)^YEARFRAC($F$7,$F$9)</f>
        <v>14693280.768000003</v>
      </c>
      <c r="F34" s="16"/>
      <c r="H34" s="15"/>
      <c r="I34" s="16"/>
      <c r="J34" s="18"/>
      <c r="K34" s="24"/>
    </row>
    <row r="35" spans="2:12" ht="5.0999999999999996" customHeight="1">
      <c r="B35" s="13"/>
    </row>
    <row r="36" spans="2:12">
      <c r="B36" s="21" t="s">
        <v>27</v>
      </c>
      <c r="C36" s="20"/>
      <c r="D36" s="20"/>
      <c r="E36" s="20"/>
      <c r="F36" s="20"/>
      <c r="G36" s="20"/>
      <c r="H36" s="20"/>
      <c r="I36" s="20"/>
      <c r="J36" s="20"/>
    </row>
    <row r="37" spans="2:12" ht="5.0999999999999996" customHeight="1" thickBot="1"/>
    <row r="38" spans="2:12" ht="14.25" thickBot="1">
      <c r="B38" s="28" t="s">
        <v>28</v>
      </c>
      <c r="C38" s="29"/>
      <c r="D38" s="30">
        <f>ROUND((D9/-D7)^(1/YEARFRAC(F7,F9))-1,4)</f>
        <v>0.2457</v>
      </c>
      <c r="F38" s="33"/>
    </row>
    <row r="39" spans="2:12" ht="5.0999999999999996" customHeight="1"/>
    <row r="40" spans="2:12" ht="13.9">
      <c r="B40" s="31" t="s">
        <v>36</v>
      </c>
    </row>
    <row r="41" spans="2:12">
      <c r="B41" s="1" t="str">
        <f>B14</f>
        <v>Limited Partners</v>
      </c>
      <c r="D41" s="15">
        <f>MIN(D34,D9)</f>
        <v>14693280.768000003</v>
      </c>
      <c r="F41" s="18">
        <f>D41/SUM($D$41:$D$41)</f>
        <v>1</v>
      </c>
    </row>
    <row r="43" spans="2:12">
      <c r="B43" s="1" t="s">
        <v>29</v>
      </c>
      <c r="D43" s="15">
        <f>MAX(0,D9-D41)</f>
        <v>15306719.231999997</v>
      </c>
    </row>
    <row r="45" spans="2:12" ht="13.9">
      <c r="B45" s="31" t="s">
        <v>35</v>
      </c>
    </row>
    <row r="46" spans="2:12">
      <c r="B46" s="1" t="str">
        <f t="shared" ref="B46:B47" si="0">B13</f>
        <v>GP</v>
      </c>
      <c r="D46" s="15">
        <f>$D$43*F46</f>
        <v>3061343.8463999997</v>
      </c>
      <c r="F46" s="38">
        <v>0.2</v>
      </c>
      <c r="L46" s="1" t="s">
        <v>41</v>
      </c>
    </row>
    <row r="47" spans="2:12">
      <c r="B47" s="1" t="str">
        <f t="shared" si="0"/>
        <v>Limited Partners</v>
      </c>
      <c r="D47" s="15">
        <f>$D$43*F47</f>
        <v>12245375.385599999</v>
      </c>
      <c r="F47" s="38">
        <v>0.8</v>
      </c>
      <c r="L47" s="1" t="s">
        <v>41</v>
      </c>
    </row>
    <row r="48" spans="2:12" ht="5.0999999999999996" customHeight="1"/>
    <row r="49" spans="2:12">
      <c r="B49" s="21" t="s">
        <v>32</v>
      </c>
      <c r="C49" s="20"/>
      <c r="D49" s="20"/>
      <c r="E49" s="20"/>
      <c r="F49" s="20"/>
      <c r="G49" s="20"/>
      <c r="H49" s="20"/>
      <c r="I49" s="20"/>
      <c r="J49" s="20"/>
    </row>
    <row r="50" spans="2:12" ht="5.0999999999999996" customHeight="1"/>
    <row r="51" spans="2:12">
      <c r="B51" s="1" t="str">
        <f t="shared" ref="B51:B52" si="1">B13</f>
        <v>GP</v>
      </c>
      <c r="D51" s="15">
        <f>D46</f>
        <v>3061343.8463999997</v>
      </c>
      <c r="F51" s="18">
        <f>D51/SUM($D$51:$D$52)</f>
        <v>0.10204479487999998</v>
      </c>
    </row>
    <row r="52" spans="2:12">
      <c r="B52" s="1" t="str">
        <f t="shared" si="1"/>
        <v>Limited Partners</v>
      </c>
      <c r="D52" s="15">
        <f>D41+D47</f>
        <v>26938656.1536</v>
      </c>
      <c r="F52" s="18">
        <f>D52/SUM($D$51:$D$52)</f>
        <v>0.89795520512000004</v>
      </c>
    </row>
    <row r="53" spans="2:12" ht="5.0999999999999996" customHeight="1"/>
    <row r="54" spans="2:12">
      <c r="B54" s="26" t="s">
        <v>0</v>
      </c>
      <c r="C54" s="26"/>
      <c r="D54" s="27">
        <f>SUBTOTAL(9,D51:D52)</f>
        <v>30000000</v>
      </c>
      <c r="L54" s="1" t="s">
        <v>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2"/>
  <sheetViews>
    <sheetView showGridLines="0" zoomScale="75" zoomScaleNormal="75" workbookViewId="0"/>
  </sheetViews>
  <sheetFormatPr defaultColWidth="9" defaultRowHeight="13.5"/>
  <cols>
    <col min="1" max="1" width="1.59765625" style="1" customWidth="1"/>
    <col min="2" max="2" width="22" style="1" bestFit="1" customWidth="1"/>
    <col min="3" max="3" width="1.59765625" style="1" customWidth="1"/>
    <col min="4" max="4" width="15.59765625" style="1" customWidth="1"/>
    <col min="5" max="5" width="1.59765625" style="1" customWidth="1"/>
    <col min="6" max="8" width="15.59765625" style="1" customWidth="1"/>
    <col min="9" max="9" width="1.59765625" style="1" customWidth="1"/>
    <col min="10" max="10" width="15.59765625" style="1" customWidth="1"/>
    <col min="11" max="11" width="1.59765625" style="11" customWidth="1"/>
    <col min="12" max="12" width="31.86328125" style="1" customWidth="1"/>
    <col min="13" max="16384" width="9" style="1"/>
  </cols>
  <sheetData>
    <row r="1" spans="2:12" ht="5.0999999999999996" customHeight="1"/>
    <row r="2" spans="2:12" ht="17.649999999999999">
      <c r="B2" s="32" t="s">
        <v>52</v>
      </c>
    </row>
    <row r="3" spans="2:12" ht="5.0999999999999996" customHeight="1"/>
    <row r="4" spans="2:12">
      <c r="B4" s="20" t="s">
        <v>5</v>
      </c>
      <c r="C4" s="20"/>
      <c r="D4" s="20"/>
      <c r="E4" s="20"/>
      <c r="F4" s="20"/>
      <c r="G4" s="20"/>
      <c r="H4" s="20"/>
      <c r="I4" s="20"/>
      <c r="J4" s="20"/>
      <c r="L4" s="20" t="s">
        <v>42</v>
      </c>
    </row>
    <row r="5" spans="2:12" ht="5.0999999999999996" customHeight="1"/>
    <row r="6" spans="2:12">
      <c r="F6" s="6" t="s">
        <v>37</v>
      </c>
    </row>
    <row r="7" spans="2:12" ht="13.9">
      <c r="B7" s="2" t="s">
        <v>4</v>
      </c>
      <c r="C7" s="2"/>
      <c r="D7" s="5">
        <v>-10000000</v>
      </c>
      <c r="F7" s="14">
        <v>44196</v>
      </c>
    </row>
    <row r="8" spans="2:12" ht="5.0999999999999996" customHeight="1">
      <c r="B8" s="3"/>
      <c r="C8" s="3"/>
      <c r="D8" s="4"/>
    </row>
    <row r="9" spans="2:12" ht="13.9">
      <c r="B9" s="2" t="s">
        <v>3</v>
      </c>
      <c r="C9" s="2"/>
      <c r="D9" s="5">
        <v>30000000</v>
      </c>
      <c r="F9" s="14">
        <v>46022</v>
      </c>
    </row>
    <row r="10" spans="2:12" ht="5.0999999999999996" customHeight="1"/>
    <row r="11" spans="2:12">
      <c r="B11" s="20" t="s">
        <v>6</v>
      </c>
      <c r="C11" s="20"/>
      <c r="D11" s="20"/>
      <c r="E11" s="20"/>
      <c r="F11" s="20"/>
      <c r="G11" s="20"/>
      <c r="H11" s="20"/>
      <c r="I11" s="20"/>
      <c r="J11" s="20"/>
    </row>
    <row r="12" spans="2:12" ht="5.0999999999999996" customHeight="1">
      <c r="D12" s="6"/>
      <c r="F12" s="23"/>
    </row>
    <row r="13" spans="2:12">
      <c r="B13" s="34" t="s">
        <v>46</v>
      </c>
      <c r="F13" s="35"/>
    </row>
    <row r="14" spans="2:12">
      <c r="B14" s="34" t="s">
        <v>9</v>
      </c>
      <c r="F14" s="35"/>
    </row>
    <row r="15" spans="2:12" ht="5.0999999999999996" customHeight="1"/>
    <row r="16" spans="2:12">
      <c r="B16" s="20" t="s">
        <v>40</v>
      </c>
      <c r="C16" s="20"/>
      <c r="D16" s="20"/>
      <c r="E16" s="20"/>
      <c r="F16" s="20"/>
      <c r="G16" s="20"/>
      <c r="H16" s="20"/>
      <c r="I16" s="20"/>
      <c r="J16" s="20"/>
    </row>
    <row r="17" spans="2:12" ht="5.0999999999999996" customHeight="1"/>
    <row r="18" spans="2:12">
      <c r="B18" s="1" t="s">
        <v>109</v>
      </c>
    </row>
    <row r="19" spans="2:12">
      <c r="B19" s="1" t="s">
        <v>58</v>
      </c>
    </row>
    <row r="20" spans="2:12">
      <c r="B20" s="1" t="s">
        <v>116</v>
      </c>
    </row>
    <row r="21" spans="2:12" ht="5.0999999999999996" customHeight="1"/>
    <row r="22" spans="2:12">
      <c r="B22" s="20" t="s">
        <v>1</v>
      </c>
      <c r="C22" s="20"/>
      <c r="D22" s="20"/>
      <c r="E22" s="20"/>
      <c r="F22" s="20"/>
      <c r="G22" s="20"/>
      <c r="H22" s="20"/>
      <c r="I22" s="20"/>
      <c r="J22" s="20"/>
    </row>
    <row r="23" spans="2:12" ht="5.0999999999999996" customHeight="1"/>
    <row r="24" spans="2:12">
      <c r="D24" s="6" t="s">
        <v>34</v>
      </c>
      <c r="F24" s="37"/>
      <c r="H24" s="7"/>
      <c r="J24" s="7"/>
      <c r="K24" s="7"/>
      <c r="L24" s="7"/>
    </row>
    <row r="25" spans="2:12" ht="5.0999999999999996" customHeight="1">
      <c r="D25" s="6"/>
      <c r="F25" s="7"/>
      <c r="H25" s="7"/>
      <c r="J25" s="7"/>
      <c r="K25" s="7"/>
      <c r="L25" s="7"/>
    </row>
    <row r="26" spans="2:12" ht="13.9">
      <c r="B26" s="13" t="s">
        <v>47</v>
      </c>
      <c r="C26" s="8"/>
      <c r="D26" s="9">
        <v>0</v>
      </c>
      <c r="F26" s="36"/>
      <c r="H26" s="12"/>
      <c r="J26" s="12"/>
      <c r="K26" s="12"/>
      <c r="L26" s="12"/>
    </row>
    <row r="27" spans="2:12" ht="13.9">
      <c r="B27" s="13" t="s">
        <v>48</v>
      </c>
      <c r="C27" s="8"/>
      <c r="D27" s="9">
        <v>0.08</v>
      </c>
      <c r="F27" s="36"/>
      <c r="H27" s="12"/>
      <c r="J27" s="12"/>
      <c r="K27" s="12"/>
      <c r="L27" s="12"/>
    </row>
    <row r="28" spans="2:12" ht="5.0999999999999996" customHeight="1"/>
    <row r="29" spans="2:12">
      <c r="B29" s="20" t="s">
        <v>49</v>
      </c>
      <c r="C29" s="20"/>
      <c r="D29" s="20"/>
      <c r="E29" s="20"/>
      <c r="F29" s="20"/>
      <c r="G29" s="20"/>
      <c r="H29" s="20"/>
      <c r="I29" s="20"/>
      <c r="J29" s="20"/>
    </row>
    <row r="30" spans="2:12" ht="5.0999999999999996" customHeight="1"/>
    <row r="31" spans="2:12">
      <c r="D31" s="6" t="s">
        <v>2</v>
      </c>
      <c r="H31" s="6"/>
      <c r="J31" s="17"/>
      <c r="K31" s="22"/>
    </row>
    <row r="32" spans="2:12">
      <c r="D32" s="6" t="s">
        <v>17</v>
      </c>
      <c r="H32" s="6"/>
      <c r="J32" s="6"/>
      <c r="K32" s="23"/>
    </row>
    <row r="33" spans="2:12" ht="5.0999999999999996" customHeight="1">
      <c r="D33" s="6"/>
    </row>
    <row r="34" spans="2:12">
      <c r="B34" s="13" t="str">
        <f>B26</f>
        <v>First</v>
      </c>
      <c r="D34" s="15">
        <f>-D7</f>
        <v>10000000</v>
      </c>
      <c r="H34" s="15"/>
      <c r="J34" s="18"/>
      <c r="K34" s="24"/>
    </row>
    <row r="35" spans="2:12">
      <c r="B35" s="13" t="str">
        <f>B27</f>
        <v>Second</v>
      </c>
      <c r="D35" s="15">
        <f>-$D$7*(1+D27)^YEARFRAC($F$7,$F$9)</f>
        <v>14693280.768000003</v>
      </c>
      <c r="H35" s="15"/>
      <c r="I35" s="16"/>
      <c r="J35" s="18"/>
      <c r="K35" s="24"/>
    </row>
    <row r="36" spans="2:12" ht="5.0999999999999996" customHeight="1">
      <c r="B36" s="13"/>
    </row>
    <row r="37" spans="2:12">
      <c r="B37" s="21" t="s">
        <v>27</v>
      </c>
      <c r="C37" s="20"/>
      <c r="D37" s="20"/>
      <c r="E37" s="20"/>
      <c r="F37" s="20"/>
      <c r="G37" s="20"/>
      <c r="H37" s="20"/>
      <c r="I37" s="20"/>
      <c r="J37" s="20"/>
    </row>
    <row r="38" spans="2:12" ht="5.0999999999999996" customHeight="1" thickBot="1"/>
    <row r="39" spans="2:12" ht="14.25" thickBot="1">
      <c r="B39" s="28" t="s">
        <v>28</v>
      </c>
      <c r="C39" s="29"/>
      <c r="D39" s="30">
        <f>ROUND((D9/-D7)^(1/YEARFRAC(F7,F9))-1,4)</f>
        <v>0.2457</v>
      </c>
      <c r="F39" s="33"/>
    </row>
    <row r="40" spans="2:12" ht="5.0999999999999996" customHeight="1"/>
    <row r="41" spans="2:12" ht="13.9">
      <c r="B41" s="31" t="s">
        <v>36</v>
      </c>
    </row>
    <row r="42" spans="2:12">
      <c r="B42" s="1" t="str">
        <f>B14</f>
        <v>Limited Partners</v>
      </c>
      <c r="D42" s="15">
        <f>MIN(D35,D9)</f>
        <v>14693280.768000003</v>
      </c>
      <c r="F42" s="18">
        <f>D42/SUM($D$42:$D$42)</f>
        <v>1</v>
      </c>
    </row>
    <row r="44" spans="2:12">
      <c r="B44" s="1" t="s">
        <v>29</v>
      </c>
      <c r="D44" s="15">
        <f>MAX(0,D9-D42)</f>
        <v>15306719.231999997</v>
      </c>
    </row>
    <row r="45" spans="2:12">
      <c r="D45" s="15"/>
    </row>
    <row r="46" spans="2:12" ht="13.9">
      <c r="B46" s="31" t="s">
        <v>35</v>
      </c>
    </row>
    <row r="47" spans="2:12">
      <c r="B47" s="1" t="str">
        <f>B13</f>
        <v>GP</v>
      </c>
      <c r="D47" s="15">
        <f>MIN(D44,(D42/(1-F47)-D42))</f>
        <v>3673320.1919999979</v>
      </c>
      <c r="F47" s="38">
        <v>0.2</v>
      </c>
      <c r="G47" s="15"/>
      <c r="L47" s="1" t="s">
        <v>53</v>
      </c>
    </row>
    <row r="48" spans="2:12">
      <c r="D48" s="15"/>
    </row>
    <row r="49" spans="2:12">
      <c r="B49" s="1" t="s">
        <v>29</v>
      </c>
      <c r="D49" s="15">
        <f>MAX(0,D44-D47)</f>
        <v>11633399.039999999</v>
      </c>
    </row>
    <row r="51" spans="2:12" ht="13.9">
      <c r="B51" s="31" t="s">
        <v>50</v>
      </c>
    </row>
    <row r="52" spans="2:12">
      <c r="B52" s="1" t="str">
        <f t="shared" ref="B52:B53" si="0">B13</f>
        <v>GP</v>
      </c>
      <c r="D52" s="15">
        <f>$D$49*F52</f>
        <v>2326679.8079999997</v>
      </c>
      <c r="F52" s="38">
        <v>0.2</v>
      </c>
      <c r="L52" s="1" t="s">
        <v>41</v>
      </c>
    </row>
    <row r="53" spans="2:12">
      <c r="B53" s="1" t="str">
        <f t="shared" si="0"/>
        <v>Limited Partners</v>
      </c>
      <c r="D53" s="15">
        <f>$D$49*F53</f>
        <v>9306719.2319999989</v>
      </c>
      <c r="F53" s="38">
        <v>0.8</v>
      </c>
      <c r="L53" s="1" t="s">
        <v>41</v>
      </c>
    </row>
    <row r="54" spans="2:12" ht="5.0999999999999996" customHeight="1"/>
    <row r="55" spans="2:12">
      <c r="B55" s="26" t="s">
        <v>31</v>
      </c>
      <c r="C55" s="26"/>
      <c r="D55" s="27">
        <f>SUBTOTAL(9,D52:D53)</f>
        <v>11633399.039999999</v>
      </c>
    </row>
    <row r="56" spans="2:12" ht="5.0999999999999996" customHeight="1"/>
    <row r="57" spans="2:12">
      <c r="B57" s="21" t="s">
        <v>32</v>
      </c>
      <c r="C57" s="20"/>
      <c r="D57" s="20"/>
      <c r="E57" s="20"/>
      <c r="F57" s="20"/>
      <c r="G57" s="20"/>
      <c r="H57" s="20"/>
      <c r="I57" s="20"/>
      <c r="J57" s="20"/>
    </row>
    <row r="58" spans="2:12" ht="5.0999999999999996" customHeight="1"/>
    <row r="59" spans="2:12">
      <c r="B59" s="1" t="str">
        <f t="shared" ref="B59:B60" si="1">B13</f>
        <v>GP</v>
      </c>
      <c r="D59" s="15">
        <f>D47+D52</f>
        <v>5999999.9999999981</v>
      </c>
      <c r="F59" s="18">
        <f>D59/SUM($D$59:$D$60)</f>
        <v>0.19999999999999993</v>
      </c>
    </row>
    <row r="60" spans="2:12">
      <c r="B60" s="1" t="str">
        <f t="shared" si="1"/>
        <v>Limited Partners</v>
      </c>
      <c r="D60" s="15">
        <f>D42+D53</f>
        <v>24000000</v>
      </c>
      <c r="F60" s="18">
        <f>D60/SUM($D$59:$D$60)</f>
        <v>0.8</v>
      </c>
    </row>
    <row r="61" spans="2:12" ht="5.0999999999999996" customHeight="1"/>
    <row r="62" spans="2:12">
      <c r="B62" s="26" t="s">
        <v>0</v>
      </c>
      <c r="C62" s="26"/>
      <c r="D62" s="27">
        <f>SUBTOTAL(9,D59:D60)</f>
        <v>30000000</v>
      </c>
      <c r="L62" s="1" t="s">
        <v>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63"/>
  <sheetViews>
    <sheetView showGridLines="0" zoomScale="75" zoomScaleNormal="75" workbookViewId="0"/>
  </sheetViews>
  <sheetFormatPr defaultColWidth="9" defaultRowHeight="13.5"/>
  <cols>
    <col min="1" max="1" width="1.59765625" style="1" customWidth="1"/>
    <col min="2" max="2" width="22" style="1" bestFit="1" customWidth="1"/>
    <col min="3" max="3" width="1.59765625" style="1" customWidth="1"/>
    <col min="4" max="4" width="15.59765625" style="1" customWidth="1"/>
    <col min="5" max="5" width="1.59765625" style="1" customWidth="1"/>
    <col min="6" max="8" width="15.59765625" style="1" customWidth="1"/>
    <col min="9" max="9" width="1.59765625" style="1" customWidth="1"/>
    <col min="10" max="10" width="15.59765625" style="1" customWidth="1"/>
    <col min="11" max="11" width="1.59765625" style="11" customWidth="1"/>
    <col min="12" max="12" width="31.86328125" style="1" customWidth="1"/>
    <col min="13" max="16384" width="9" style="1"/>
  </cols>
  <sheetData>
    <row r="1" spans="2:12" ht="5.0999999999999996" customHeight="1"/>
    <row r="2" spans="2:12" ht="17.649999999999999">
      <c r="B2" s="32" t="s">
        <v>59</v>
      </c>
    </row>
    <row r="3" spans="2:12" ht="5.0999999999999996" customHeight="1"/>
    <row r="4" spans="2:12">
      <c r="B4" s="20" t="s">
        <v>5</v>
      </c>
      <c r="C4" s="20"/>
      <c r="D4" s="20"/>
      <c r="E4" s="20"/>
      <c r="F4" s="20"/>
      <c r="G4" s="20"/>
      <c r="H4" s="20"/>
      <c r="I4" s="20"/>
      <c r="J4" s="20"/>
      <c r="L4" s="20" t="s">
        <v>42</v>
      </c>
    </row>
    <row r="5" spans="2:12" ht="5.0999999999999996" customHeight="1"/>
    <row r="6" spans="2:12">
      <c r="F6" s="6" t="s">
        <v>37</v>
      </c>
    </row>
    <row r="7" spans="2:12" ht="13.9">
      <c r="B7" s="2" t="s">
        <v>4</v>
      </c>
      <c r="C7" s="2"/>
      <c r="D7" s="5">
        <v>-10000000</v>
      </c>
      <c r="F7" s="14">
        <v>44196</v>
      </c>
    </row>
    <row r="8" spans="2:12" ht="5.0999999999999996" customHeight="1">
      <c r="B8" s="3"/>
      <c r="C8" s="3"/>
      <c r="D8" s="4"/>
    </row>
    <row r="9" spans="2:12" ht="13.9">
      <c r="B9" s="2" t="s">
        <v>3</v>
      </c>
      <c r="C9" s="2"/>
      <c r="D9" s="5">
        <v>30000000</v>
      </c>
      <c r="F9" s="14">
        <v>46022</v>
      </c>
    </row>
    <row r="10" spans="2:12" ht="5.0999999999999996" customHeight="1"/>
    <row r="11" spans="2:12">
      <c r="B11" s="20" t="s">
        <v>6</v>
      </c>
      <c r="C11" s="20"/>
      <c r="D11" s="20"/>
      <c r="E11" s="20"/>
      <c r="F11" s="20"/>
      <c r="G11" s="20"/>
      <c r="H11" s="20"/>
      <c r="I11" s="20"/>
      <c r="J11" s="20"/>
    </row>
    <row r="12" spans="2:12" ht="5.0999999999999996" customHeight="1">
      <c r="D12" s="6"/>
      <c r="F12" s="23"/>
    </row>
    <row r="13" spans="2:12">
      <c r="B13" s="34" t="s">
        <v>46</v>
      </c>
      <c r="F13" s="35"/>
    </row>
    <row r="14" spans="2:12">
      <c r="B14" s="34" t="s">
        <v>9</v>
      </c>
      <c r="F14" s="35"/>
    </row>
    <row r="15" spans="2:12" ht="5.0999999999999996" customHeight="1"/>
    <row r="16" spans="2:12">
      <c r="B16" s="20" t="s">
        <v>40</v>
      </c>
      <c r="C16" s="20"/>
      <c r="D16" s="20"/>
      <c r="E16" s="20"/>
      <c r="F16" s="20"/>
      <c r="G16" s="20"/>
      <c r="H16" s="20"/>
      <c r="I16" s="20"/>
      <c r="J16" s="20"/>
    </row>
    <row r="17" spans="2:12" ht="5.0999999999999996" customHeight="1"/>
    <row r="18" spans="2:12">
      <c r="B18" s="1" t="s">
        <v>110</v>
      </c>
    </row>
    <row r="19" spans="2:12">
      <c r="B19" s="1" t="s">
        <v>111</v>
      </c>
    </row>
    <row r="20" spans="2:12">
      <c r="B20" s="1" t="s">
        <v>60</v>
      </c>
    </row>
    <row r="21" spans="2:12">
      <c r="B21" s="1" t="s">
        <v>117</v>
      </c>
    </row>
    <row r="22" spans="2:12" ht="5.0999999999999996" customHeight="1"/>
    <row r="23" spans="2:12">
      <c r="B23" s="20" t="s">
        <v>1</v>
      </c>
      <c r="C23" s="20"/>
      <c r="D23" s="20"/>
      <c r="E23" s="20"/>
      <c r="F23" s="20"/>
      <c r="G23" s="20"/>
      <c r="H23" s="20"/>
      <c r="I23" s="20"/>
      <c r="J23" s="20"/>
    </row>
    <row r="24" spans="2:12" ht="5.0999999999999996" customHeight="1"/>
    <row r="25" spans="2:12">
      <c r="D25" s="6" t="s">
        <v>34</v>
      </c>
      <c r="F25" s="37"/>
      <c r="H25" s="7"/>
      <c r="J25" s="7"/>
      <c r="K25" s="7"/>
      <c r="L25" s="7"/>
    </row>
    <row r="26" spans="2:12" ht="5.0999999999999996" customHeight="1">
      <c r="D26" s="6"/>
      <c r="F26" s="7"/>
      <c r="H26" s="7"/>
      <c r="J26" s="7"/>
      <c r="K26" s="7"/>
      <c r="L26" s="7"/>
    </row>
    <row r="27" spans="2:12" ht="13.9">
      <c r="B27" s="13" t="s">
        <v>47</v>
      </c>
      <c r="C27" s="8"/>
      <c r="D27" s="9">
        <v>0</v>
      </c>
      <c r="F27" s="36"/>
      <c r="H27" s="12"/>
      <c r="J27" s="12"/>
      <c r="K27" s="12"/>
      <c r="L27" s="12"/>
    </row>
    <row r="28" spans="2:12" ht="13.9">
      <c r="B28" s="13" t="s">
        <v>48</v>
      </c>
      <c r="C28" s="8"/>
      <c r="D28" s="9">
        <v>0.08</v>
      </c>
      <c r="F28" s="36"/>
      <c r="H28" s="12"/>
      <c r="J28" s="12"/>
      <c r="K28" s="12"/>
      <c r="L28" s="12"/>
    </row>
    <row r="29" spans="2:12" ht="5.0999999999999996" customHeight="1"/>
    <row r="30" spans="2:12">
      <c r="B30" s="20" t="s">
        <v>49</v>
      </c>
      <c r="C30" s="20"/>
      <c r="D30" s="20"/>
      <c r="E30" s="20"/>
      <c r="F30" s="20"/>
      <c r="G30" s="20"/>
      <c r="H30" s="20"/>
      <c r="I30" s="20"/>
      <c r="J30" s="20"/>
    </row>
    <row r="31" spans="2:12" ht="5.0999999999999996" customHeight="1"/>
    <row r="32" spans="2:12">
      <c r="D32" s="6" t="s">
        <v>2</v>
      </c>
      <c r="H32" s="6"/>
      <c r="J32" s="17"/>
      <c r="K32" s="22"/>
    </row>
    <row r="33" spans="2:12">
      <c r="D33" s="6" t="s">
        <v>17</v>
      </c>
      <c r="H33" s="6"/>
      <c r="J33" s="6"/>
      <c r="K33" s="23"/>
    </row>
    <row r="34" spans="2:12" ht="5.0999999999999996" customHeight="1">
      <c r="D34" s="6"/>
    </row>
    <row r="35" spans="2:12">
      <c r="B35" s="13" t="str">
        <f>B27</f>
        <v>First</v>
      </c>
      <c r="D35" s="15">
        <f>-D7</f>
        <v>10000000</v>
      </c>
      <c r="H35" s="15"/>
      <c r="J35" s="18"/>
      <c r="K35" s="24"/>
    </row>
    <row r="36" spans="2:12">
      <c r="B36" s="13" t="str">
        <f>B28</f>
        <v>Second</v>
      </c>
      <c r="D36" s="15">
        <f>-$D$7*(1+D28)^YEARFRAC($F$7,$F$9)</f>
        <v>14693280.768000003</v>
      </c>
      <c r="H36" s="15"/>
      <c r="I36" s="16"/>
      <c r="J36" s="18"/>
      <c r="K36" s="24"/>
    </row>
    <row r="37" spans="2:12" ht="5.0999999999999996" customHeight="1">
      <c r="B37" s="13"/>
    </row>
    <row r="38" spans="2:12">
      <c r="B38" s="21" t="s">
        <v>27</v>
      </c>
      <c r="C38" s="20"/>
      <c r="D38" s="20"/>
      <c r="E38" s="20"/>
      <c r="F38" s="20"/>
      <c r="G38" s="20"/>
      <c r="H38" s="20"/>
      <c r="I38" s="20"/>
      <c r="J38" s="20"/>
    </row>
    <row r="39" spans="2:12" ht="5.0999999999999996" customHeight="1" thickBot="1"/>
    <row r="40" spans="2:12" ht="14.25" thickBot="1">
      <c r="B40" s="28" t="s">
        <v>28</v>
      </c>
      <c r="C40" s="29"/>
      <c r="D40" s="30">
        <f>ROUND((D9/-D7)^(1/YEARFRAC(F7,F9))-1,4)</f>
        <v>0.2457</v>
      </c>
      <c r="F40" s="33"/>
    </row>
    <row r="41" spans="2:12" ht="5.0999999999999996" customHeight="1"/>
    <row r="42" spans="2:12" ht="13.9">
      <c r="B42" s="31" t="s">
        <v>36</v>
      </c>
    </row>
    <row r="43" spans="2:12">
      <c r="B43" s="1" t="str">
        <f>B14</f>
        <v>Limited Partners</v>
      </c>
      <c r="D43" s="15">
        <f>MIN(D36,D9)</f>
        <v>14693280.768000003</v>
      </c>
      <c r="F43" s="18">
        <f>D43/SUM($D$43:$D$43)</f>
        <v>1</v>
      </c>
    </row>
    <row r="45" spans="2:12">
      <c r="B45" s="1" t="s">
        <v>29</v>
      </c>
      <c r="D45" s="15">
        <f>MAX(0,D9-D43)</f>
        <v>15306719.231999997</v>
      </c>
    </row>
    <row r="46" spans="2:12">
      <c r="D46" s="15"/>
    </row>
    <row r="47" spans="2:12" ht="13.9">
      <c r="B47" s="31" t="s">
        <v>35</v>
      </c>
    </row>
    <row r="48" spans="2:12">
      <c r="B48" s="1" t="str">
        <f>B13</f>
        <v>GP</v>
      </c>
      <c r="D48" s="15">
        <f>MIN(D45,((D43-D35)/(1-F48)-(D43-D35)))</f>
        <v>1173320.1920000007</v>
      </c>
      <c r="F48" s="38">
        <v>0.2</v>
      </c>
      <c r="L48" s="1" t="s">
        <v>53</v>
      </c>
    </row>
    <row r="49" spans="2:12">
      <c r="D49" s="15"/>
    </row>
    <row r="50" spans="2:12">
      <c r="B50" s="1" t="s">
        <v>29</v>
      </c>
      <c r="D50" s="15">
        <f>MAX(0,D45-D48)</f>
        <v>14133399.039999995</v>
      </c>
    </row>
    <row r="52" spans="2:12" ht="13.9">
      <c r="B52" s="31" t="s">
        <v>50</v>
      </c>
    </row>
    <row r="53" spans="2:12">
      <c r="B53" s="1" t="str">
        <f t="shared" ref="B53:B54" si="0">B13</f>
        <v>GP</v>
      </c>
      <c r="D53" s="15">
        <f>$D$50*F53</f>
        <v>2826679.8079999993</v>
      </c>
      <c r="F53" s="38">
        <v>0.2</v>
      </c>
      <c r="L53" s="1" t="s">
        <v>41</v>
      </c>
    </row>
    <row r="54" spans="2:12">
      <c r="B54" s="1" t="str">
        <f t="shared" si="0"/>
        <v>Limited Partners</v>
      </c>
      <c r="D54" s="15">
        <f>$D$50*F54</f>
        <v>11306719.231999997</v>
      </c>
      <c r="F54" s="38">
        <v>0.8</v>
      </c>
      <c r="L54" s="1" t="s">
        <v>41</v>
      </c>
    </row>
    <row r="55" spans="2:12" ht="5.0999999999999996" customHeight="1"/>
    <row r="56" spans="2:12">
      <c r="B56" s="26" t="s">
        <v>31</v>
      </c>
      <c r="C56" s="26"/>
      <c r="D56" s="27">
        <f>SUBTOTAL(9,D53:D54)</f>
        <v>14133399.039999995</v>
      </c>
    </row>
    <row r="57" spans="2:12" ht="5.0999999999999996" customHeight="1"/>
    <row r="58" spans="2:12">
      <c r="B58" s="21" t="s">
        <v>32</v>
      </c>
      <c r="C58" s="20"/>
      <c r="D58" s="20"/>
      <c r="E58" s="20"/>
      <c r="F58" s="20"/>
      <c r="G58" s="20"/>
      <c r="H58" s="20"/>
      <c r="I58" s="20"/>
      <c r="J58" s="20"/>
    </row>
    <row r="59" spans="2:12" ht="5.0999999999999996" customHeight="1"/>
    <row r="60" spans="2:12">
      <c r="B60" s="1" t="str">
        <f t="shared" ref="B60:B61" si="1">B13</f>
        <v>GP</v>
      </c>
      <c r="D60" s="15">
        <f>D48+D53</f>
        <v>4000000</v>
      </c>
      <c r="F60" s="18">
        <f>D60/SUM($D$60:$D$61)</f>
        <v>0.13333333333333333</v>
      </c>
    </row>
    <row r="61" spans="2:12">
      <c r="B61" s="1" t="str">
        <f t="shared" si="1"/>
        <v>Limited Partners</v>
      </c>
      <c r="D61" s="15">
        <f>D43+D54</f>
        <v>26000000</v>
      </c>
      <c r="F61" s="18">
        <f>D61/SUM($D$60:$D$61)</f>
        <v>0.8666666666666667</v>
      </c>
    </row>
    <row r="62" spans="2:12" ht="5.0999999999999996" customHeight="1"/>
    <row r="63" spans="2:12">
      <c r="B63" s="26" t="s">
        <v>0</v>
      </c>
      <c r="C63" s="26"/>
      <c r="D63" s="27">
        <f>SUBTOTAL(9,D60:D61)</f>
        <v>30000000</v>
      </c>
      <c r="L63" s="1" t="s">
        <v>33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89"/>
  <sheetViews>
    <sheetView showGridLines="0" zoomScale="75" zoomScaleNormal="75" workbookViewId="0"/>
  </sheetViews>
  <sheetFormatPr defaultColWidth="9" defaultRowHeight="13.5"/>
  <cols>
    <col min="1" max="1" width="1.59765625" style="1" customWidth="1"/>
    <col min="2" max="2" width="22" style="1" bestFit="1" customWidth="1"/>
    <col min="3" max="3" width="1.59765625" style="1" customWidth="1"/>
    <col min="4" max="4" width="15.59765625" style="1" customWidth="1"/>
    <col min="5" max="5" width="1.59765625" style="1" customWidth="1"/>
    <col min="6" max="8" width="15.59765625" style="1" customWidth="1"/>
    <col min="9" max="9" width="1.59765625" style="1" customWidth="1"/>
    <col min="10" max="10" width="15.59765625" style="1" customWidth="1"/>
    <col min="11" max="11" width="1.59765625" style="11" customWidth="1"/>
    <col min="12" max="12" width="31.86328125" style="1" customWidth="1"/>
    <col min="13" max="16384" width="9" style="1"/>
  </cols>
  <sheetData>
    <row r="1" spans="2:12" ht="5.0999999999999996" customHeight="1"/>
    <row r="2" spans="2:12" ht="17.649999999999999">
      <c r="B2" s="32" t="s">
        <v>57</v>
      </c>
    </row>
    <row r="3" spans="2:12" ht="5.0999999999999996" customHeight="1"/>
    <row r="4" spans="2:12">
      <c r="B4" s="20" t="s">
        <v>5</v>
      </c>
      <c r="C4" s="20"/>
      <c r="D4" s="20"/>
      <c r="E4" s="20"/>
      <c r="F4" s="20"/>
      <c r="G4" s="20"/>
      <c r="H4" s="20"/>
      <c r="I4" s="20"/>
      <c r="J4" s="20"/>
      <c r="L4" s="20" t="s">
        <v>42</v>
      </c>
    </row>
    <row r="5" spans="2:12" ht="5.0999999999999996" customHeight="1"/>
    <row r="6" spans="2:12">
      <c r="F6" s="6" t="s">
        <v>37</v>
      </c>
    </row>
    <row r="7" spans="2:12" ht="13.9">
      <c r="B7" s="2" t="s">
        <v>4</v>
      </c>
      <c r="C7" s="2"/>
      <c r="D7" s="5">
        <v>-10000000</v>
      </c>
      <c r="F7" s="14">
        <v>44196</v>
      </c>
    </row>
    <row r="8" spans="2:12" ht="5.0999999999999996" customHeight="1">
      <c r="B8" s="3"/>
      <c r="C8" s="3"/>
      <c r="D8" s="4"/>
    </row>
    <row r="9" spans="2:12" ht="13.9">
      <c r="B9" s="2" t="s">
        <v>3</v>
      </c>
      <c r="C9" s="2"/>
      <c r="D9" s="5">
        <v>30000000</v>
      </c>
      <c r="F9" s="14">
        <v>46022</v>
      </c>
    </row>
    <row r="10" spans="2:12" ht="5.0999999999999996" customHeight="1"/>
    <row r="11" spans="2:12">
      <c r="B11" s="20" t="s">
        <v>6</v>
      </c>
      <c r="C11" s="20"/>
      <c r="D11" s="20"/>
      <c r="E11" s="20"/>
      <c r="F11" s="20"/>
      <c r="G11" s="20"/>
      <c r="H11" s="20"/>
      <c r="I11" s="20"/>
      <c r="J11" s="20"/>
    </row>
    <row r="12" spans="2:12">
      <c r="D12" s="6" t="s">
        <v>11</v>
      </c>
      <c r="F12" s="6" t="s">
        <v>12</v>
      </c>
    </row>
    <row r="13" spans="2:12">
      <c r="B13" s="1" t="s">
        <v>7</v>
      </c>
      <c r="D13" s="1" t="s">
        <v>10</v>
      </c>
      <c r="F13" s="5">
        <v>0</v>
      </c>
    </row>
    <row r="14" spans="2:12">
      <c r="B14" s="1" t="s">
        <v>8</v>
      </c>
      <c r="D14" s="1" t="s">
        <v>43</v>
      </c>
      <c r="F14" s="5">
        <v>0</v>
      </c>
      <c r="L14" s="1" t="s">
        <v>44</v>
      </c>
    </row>
    <row r="15" spans="2:12">
      <c r="B15" s="1" t="s">
        <v>9</v>
      </c>
      <c r="D15" s="1" t="s">
        <v>45</v>
      </c>
      <c r="F15" s="5">
        <f>-D7</f>
        <v>10000000</v>
      </c>
    </row>
    <row r="16" spans="2:12" ht="5.0999999999999996" customHeight="1"/>
    <row r="17" spans="2:18">
      <c r="B17" s="20" t="s">
        <v>40</v>
      </c>
      <c r="C17" s="20"/>
      <c r="D17" s="20"/>
      <c r="E17" s="20"/>
      <c r="F17" s="20"/>
      <c r="G17" s="20"/>
      <c r="H17" s="20"/>
      <c r="I17" s="20"/>
      <c r="J17" s="20"/>
    </row>
    <row r="18" spans="2:18" ht="5.0999999999999996" customHeight="1"/>
    <row r="19" spans="2:18">
      <c r="B19" s="1" t="s">
        <v>38</v>
      </c>
    </row>
    <row r="20" spans="2:18">
      <c r="B20" s="1" t="s">
        <v>13</v>
      </c>
    </row>
    <row r="21" spans="2:18">
      <c r="B21" s="1" t="s">
        <v>14</v>
      </c>
    </row>
    <row r="22" spans="2:18" ht="5.0999999999999996" customHeight="1"/>
    <row r="23" spans="2:18">
      <c r="B23" s="20" t="s">
        <v>1</v>
      </c>
      <c r="C23" s="20"/>
      <c r="D23" s="20"/>
      <c r="E23" s="20"/>
      <c r="F23" s="20"/>
      <c r="G23" s="20"/>
      <c r="H23" s="20"/>
      <c r="I23" s="20"/>
      <c r="J23" s="20"/>
    </row>
    <row r="24" spans="2:18" ht="5.0999999999999996" customHeight="1"/>
    <row r="25" spans="2:18">
      <c r="D25" s="6" t="s">
        <v>34</v>
      </c>
      <c r="F25" s="7" t="s">
        <v>15</v>
      </c>
      <c r="G25" s="7" t="s">
        <v>16</v>
      </c>
      <c r="H25" s="7" t="s">
        <v>0</v>
      </c>
      <c r="J25" s="7"/>
      <c r="K25" s="7"/>
      <c r="L25" s="7"/>
    </row>
    <row r="26" spans="2:18" ht="5.0999999999999996" customHeight="1">
      <c r="D26" s="6"/>
      <c r="F26" s="7"/>
      <c r="G26" s="7"/>
      <c r="H26" s="7"/>
      <c r="J26" s="7"/>
      <c r="K26" s="7"/>
      <c r="L26" s="7"/>
    </row>
    <row r="27" spans="2:18" ht="13.9">
      <c r="B27" s="13">
        <v>1</v>
      </c>
      <c r="C27" s="8"/>
      <c r="D27" s="9">
        <v>0</v>
      </c>
      <c r="F27" s="10">
        <v>0</v>
      </c>
      <c r="G27" s="9">
        <v>0</v>
      </c>
      <c r="H27" s="12">
        <f t="shared" ref="H27:H34" si="0">F27+G27</f>
        <v>0</v>
      </c>
      <c r="J27" s="12"/>
      <c r="K27" s="12"/>
      <c r="L27" s="12"/>
    </row>
    <row r="28" spans="2:18" ht="13.9">
      <c r="B28" s="13">
        <v>2</v>
      </c>
      <c r="C28" s="8"/>
      <c r="D28" s="9">
        <v>0.08</v>
      </c>
      <c r="F28" s="9">
        <v>0.02</v>
      </c>
      <c r="G28" s="9">
        <v>0.08</v>
      </c>
      <c r="H28" s="12">
        <f t="shared" si="0"/>
        <v>0.1</v>
      </c>
      <c r="J28" s="12"/>
      <c r="K28" s="12"/>
      <c r="L28" s="12"/>
    </row>
    <row r="29" spans="2:18" ht="13.9">
      <c r="B29" s="13">
        <v>3</v>
      </c>
      <c r="C29" s="8"/>
      <c r="D29" s="9">
        <v>0.12</v>
      </c>
      <c r="F29" s="9">
        <v>0.03</v>
      </c>
      <c r="G29" s="9">
        <v>0.1</v>
      </c>
      <c r="H29" s="12">
        <f t="shared" si="0"/>
        <v>0.13</v>
      </c>
      <c r="J29" s="12"/>
      <c r="K29" s="12"/>
      <c r="L29" s="12"/>
    </row>
    <row r="30" spans="2:18" ht="13.9">
      <c r="B30" s="13">
        <v>4</v>
      </c>
      <c r="C30" s="8"/>
      <c r="D30" s="9">
        <v>0.16</v>
      </c>
      <c r="F30" s="9">
        <v>0.04</v>
      </c>
      <c r="G30" s="9">
        <v>0.14000000000000001</v>
      </c>
      <c r="H30" s="12">
        <f t="shared" si="0"/>
        <v>0.18000000000000002</v>
      </c>
      <c r="J30" s="12"/>
      <c r="K30" s="12"/>
      <c r="L30" s="12"/>
    </row>
    <row r="31" spans="2:18" ht="13.9">
      <c r="B31" s="13">
        <v>5</v>
      </c>
      <c r="C31" s="8"/>
      <c r="D31" s="9">
        <v>0.17</v>
      </c>
      <c r="F31" s="9">
        <v>0.05</v>
      </c>
      <c r="G31" s="9">
        <v>0.15</v>
      </c>
      <c r="H31" s="12">
        <f t="shared" si="0"/>
        <v>0.2</v>
      </c>
      <c r="J31" s="12"/>
      <c r="K31" s="12"/>
      <c r="L31" s="12"/>
      <c r="P31" s="16"/>
      <c r="Q31" s="16"/>
      <c r="R31" s="16"/>
    </row>
    <row r="32" spans="2:18" ht="13.9">
      <c r="B32" s="13">
        <v>6</v>
      </c>
      <c r="C32" s="8"/>
      <c r="D32" s="9">
        <v>0.18</v>
      </c>
      <c r="F32" s="9">
        <v>6.0000000000000005E-2</v>
      </c>
      <c r="G32" s="9">
        <v>0.16</v>
      </c>
      <c r="H32" s="12">
        <f t="shared" si="0"/>
        <v>0.22</v>
      </c>
      <c r="J32" s="12"/>
      <c r="K32" s="12"/>
      <c r="L32" s="12"/>
      <c r="P32" s="16"/>
      <c r="Q32" s="16"/>
      <c r="R32" s="16"/>
    </row>
    <row r="33" spans="2:18" ht="13.9">
      <c r="B33" s="13">
        <v>7</v>
      </c>
      <c r="C33" s="8"/>
      <c r="D33" s="9">
        <v>0.19</v>
      </c>
      <c r="F33" s="9">
        <v>7.0000000000000007E-2</v>
      </c>
      <c r="G33" s="9">
        <v>0.18</v>
      </c>
      <c r="H33" s="12">
        <f t="shared" si="0"/>
        <v>0.25</v>
      </c>
      <c r="J33" s="12"/>
      <c r="K33" s="12"/>
      <c r="L33" s="12"/>
      <c r="P33" s="16"/>
      <c r="Q33" s="16"/>
      <c r="R33" s="16"/>
    </row>
    <row r="34" spans="2:18" ht="13.9">
      <c r="B34" s="13">
        <v>8</v>
      </c>
      <c r="C34" s="8"/>
      <c r="D34" s="9">
        <v>0.2</v>
      </c>
      <c r="F34" s="9">
        <v>0.08</v>
      </c>
      <c r="G34" s="9">
        <v>0.2</v>
      </c>
      <c r="H34" s="12">
        <f t="shared" si="0"/>
        <v>0.28000000000000003</v>
      </c>
      <c r="J34" s="12"/>
      <c r="K34" s="12"/>
      <c r="L34" s="12"/>
      <c r="P34" s="16"/>
      <c r="Q34" s="16"/>
      <c r="R34" s="16"/>
    </row>
    <row r="35" spans="2:18" ht="5.0999999999999996" customHeight="1"/>
    <row r="36" spans="2:18">
      <c r="B36" s="20" t="s">
        <v>39</v>
      </c>
      <c r="C36" s="20"/>
      <c r="D36" s="20"/>
      <c r="E36" s="20"/>
      <c r="F36" s="20"/>
      <c r="G36" s="20"/>
      <c r="H36" s="20"/>
      <c r="I36" s="20"/>
      <c r="J36" s="20"/>
    </row>
    <row r="37" spans="2:18" ht="5.0999999999999996" customHeight="1"/>
    <row r="38" spans="2:18">
      <c r="D38" s="6" t="s">
        <v>2</v>
      </c>
      <c r="H38" s="6" t="s">
        <v>18</v>
      </c>
      <c r="J38" s="17" t="s">
        <v>20</v>
      </c>
      <c r="K38" s="22"/>
    </row>
    <row r="39" spans="2:18">
      <c r="D39" s="6" t="s">
        <v>17</v>
      </c>
      <c r="H39" s="6" t="s">
        <v>19</v>
      </c>
      <c r="J39" s="6" t="s">
        <v>21</v>
      </c>
      <c r="K39" s="23"/>
    </row>
    <row r="40" spans="2:18" ht="5.0999999999999996" customHeight="1">
      <c r="D40" s="6"/>
    </row>
    <row r="41" spans="2:18">
      <c r="B41" s="13">
        <f t="shared" ref="B41:B48" si="1">B27</f>
        <v>1</v>
      </c>
      <c r="D41" s="15">
        <f>-D7</f>
        <v>10000000</v>
      </c>
      <c r="H41" s="15">
        <f>D41</f>
        <v>10000000</v>
      </c>
      <c r="J41" s="18">
        <f>(H41/-$D$7)^(1/YEARFRAC($F$7,$F$9))-1</f>
        <v>0</v>
      </c>
      <c r="K41" s="24"/>
    </row>
    <row r="42" spans="2:18">
      <c r="B42" s="13">
        <f t="shared" si="1"/>
        <v>2</v>
      </c>
      <c r="D42" s="15">
        <f t="shared" ref="D42:D48" si="2">-$D$7*(1+D28)^YEARFRAC($F$7,$F$9)</f>
        <v>14693280.768000003</v>
      </c>
      <c r="H42" s="15">
        <f t="shared" ref="H42:H48" si="3">D42/(1-H28)</f>
        <v>16325867.520000003</v>
      </c>
      <c r="I42" s="16"/>
      <c r="J42" s="18">
        <f t="shared" ref="J42:J48" si="4">(H42/-$D$7)^(1/YEARFRAC($F$7,$F$9))-1</f>
        <v>0.10299934260814592</v>
      </c>
      <c r="K42" s="24"/>
    </row>
    <row r="43" spans="2:18">
      <c r="B43" s="13">
        <f t="shared" si="1"/>
        <v>3</v>
      </c>
      <c r="D43" s="15">
        <f t="shared" si="2"/>
        <v>17623416.832000006</v>
      </c>
      <c r="H43" s="15">
        <f t="shared" si="3"/>
        <v>20256800.956321847</v>
      </c>
      <c r="J43" s="18">
        <f t="shared" si="4"/>
        <v>0.15163318845914975</v>
      </c>
      <c r="K43" s="24"/>
    </row>
    <row r="44" spans="2:18">
      <c r="B44" s="13">
        <f t="shared" si="1"/>
        <v>4</v>
      </c>
      <c r="D44" s="15">
        <f t="shared" si="2"/>
        <v>21003416.575999998</v>
      </c>
      <c r="H44" s="15">
        <f t="shared" si="3"/>
        <v>25613922.653658535</v>
      </c>
      <c r="J44" s="18">
        <f t="shared" si="4"/>
        <v>0.20696650711711273</v>
      </c>
      <c r="K44" s="24"/>
    </row>
    <row r="45" spans="2:18">
      <c r="B45" s="13">
        <f t="shared" si="1"/>
        <v>5</v>
      </c>
      <c r="D45" s="15">
        <f t="shared" si="2"/>
        <v>21924480.35699999</v>
      </c>
      <c r="H45" s="15">
        <f t="shared" si="3"/>
        <v>27405600.446249984</v>
      </c>
      <c r="J45" s="18">
        <f t="shared" si="4"/>
        <v>0.22339827653178945</v>
      </c>
      <c r="K45" s="24"/>
    </row>
    <row r="46" spans="2:18">
      <c r="B46" s="13">
        <f t="shared" si="1"/>
        <v>6</v>
      </c>
      <c r="D46" s="15">
        <f t="shared" si="2"/>
        <v>22877577.567999993</v>
      </c>
      <c r="H46" s="15">
        <f t="shared" si="3"/>
        <v>29330227.651282042</v>
      </c>
      <c r="J46" s="18">
        <f t="shared" si="4"/>
        <v>0.24011821572791203</v>
      </c>
      <c r="K46" s="24"/>
    </row>
    <row r="47" spans="2:18">
      <c r="B47" s="13">
        <f t="shared" si="1"/>
        <v>7</v>
      </c>
      <c r="D47" s="15">
        <f t="shared" si="2"/>
        <v>23863536.598999996</v>
      </c>
      <c r="H47" s="15">
        <f t="shared" si="3"/>
        <v>31818048.79866666</v>
      </c>
      <c r="J47" s="18">
        <f t="shared" si="4"/>
        <v>0.26047637084808661</v>
      </c>
      <c r="K47" s="24"/>
    </row>
    <row r="48" spans="2:18">
      <c r="B48" s="13">
        <f t="shared" si="1"/>
        <v>8</v>
      </c>
      <c r="D48" s="15">
        <f t="shared" si="2"/>
        <v>24883200</v>
      </c>
      <c r="H48" s="15">
        <f t="shared" si="3"/>
        <v>34560000</v>
      </c>
      <c r="J48" s="18">
        <f t="shared" si="4"/>
        <v>0.28148859901472245</v>
      </c>
      <c r="K48" s="24"/>
    </row>
    <row r="49" spans="2:11" ht="5.0999999999999996" customHeight="1">
      <c r="B49" s="13"/>
    </row>
    <row r="50" spans="2:11">
      <c r="B50" s="21" t="s">
        <v>22</v>
      </c>
      <c r="C50" s="20"/>
      <c r="D50" s="20"/>
      <c r="E50" s="20"/>
      <c r="F50" s="20"/>
      <c r="G50" s="20"/>
      <c r="H50" s="20"/>
      <c r="I50" s="20"/>
      <c r="J50" s="20"/>
    </row>
    <row r="51" spans="2:11" ht="5.0999999999999996" customHeight="1">
      <c r="B51" s="13"/>
    </row>
    <row r="52" spans="2:11">
      <c r="D52" s="1" t="s">
        <v>23</v>
      </c>
      <c r="F52" s="7" t="s">
        <v>24</v>
      </c>
      <c r="G52" s="7" t="s">
        <v>25</v>
      </c>
      <c r="H52" s="6" t="s">
        <v>9</v>
      </c>
      <c r="J52" s="6" t="s">
        <v>0</v>
      </c>
      <c r="K52" s="23"/>
    </row>
    <row r="53" spans="2:11" ht="5.0999999999999996" customHeight="1"/>
    <row r="54" spans="2:11" ht="13.9">
      <c r="B54" s="13">
        <f t="shared" ref="B54:B61" si="5">B41</f>
        <v>1</v>
      </c>
      <c r="D54" s="18">
        <f>ROUND(J41,4)</f>
        <v>0</v>
      </c>
      <c r="F54" s="19" t="s">
        <v>26</v>
      </c>
      <c r="G54" s="19" t="s">
        <v>26</v>
      </c>
      <c r="H54" s="15">
        <f>D41</f>
        <v>10000000</v>
      </c>
      <c r="J54" s="15">
        <f>SUM(F54:H54)</f>
        <v>10000000</v>
      </c>
      <c r="K54" s="25"/>
    </row>
    <row r="55" spans="2:11">
      <c r="B55" s="13">
        <f t="shared" si="5"/>
        <v>2</v>
      </c>
      <c r="D55" s="18">
        <f t="shared" ref="D55:D61" si="6">ROUND(J42,4)</f>
        <v>0.10299999999999999</v>
      </c>
      <c r="F55" s="15">
        <f t="shared" ref="F55:F61" si="7">F28/SUM(F28:G28)*(H42-D42)</f>
        <v>326517.35040000005</v>
      </c>
      <c r="G55" s="15">
        <f t="shared" ref="G55:G61" si="8">G28/SUM(F28:G28)*(H42-D42)</f>
        <v>1306069.4016000002</v>
      </c>
      <c r="H55" s="15">
        <f t="shared" ref="H55:H61" si="9">D42</f>
        <v>14693280.768000003</v>
      </c>
      <c r="J55" s="15">
        <f t="shared" ref="J55:J61" si="10">SUM(F55:H55)</f>
        <v>16325867.520000003</v>
      </c>
      <c r="K55" s="25"/>
    </row>
    <row r="56" spans="2:11">
      <c r="B56" s="13">
        <f t="shared" si="5"/>
        <v>3</v>
      </c>
      <c r="D56" s="18">
        <f t="shared" si="6"/>
        <v>0.15160000000000001</v>
      </c>
      <c r="F56" s="15">
        <f t="shared" si="7"/>
        <v>607704.02868965548</v>
      </c>
      <c r="G56" s="15">
        <f t="shared" si="8"/>
        <v>2025680.0956321852</v>
      </c>
      <c r="H56" s="15">
        <f t="shared" si="9"/>
        <v>17623416.832000006</v>
      </c>
      <c r="J56" s="15">
        <f t="shared" si="10"/>
        <v>20256800.956321847</v>
      </c>
      <c r="K56" s="25"/>
    </row>
    <row r="57" spans="2:11">
      <c r="B57" s="13">
        <f t="shared" si="5"/>
        <v>4</v>
      </c>
      <c r="D57" s="18">
        <f t="shared" si="6"/>
        <v>0.20699999999999999</v>
      </c>
      <c r="F57" s="15">
        <f t="shared" si="7"/>
        <v>1024556.9061463417</v>
      </c>
      <c r="G57" s="15">
        <f t="shared" si="8"/>
        <v>3585949.1715121963</v>
      </c>
      <c r="H57" s="15">
        <f t="shared" si="9"/>
        <v>21003416.575999998</v>
      </c>
      <c r="J57" s="15">
        <f t="shared" si="10"/>
        <v>25613922.653658535</v>
      </c>
      <c r="K57" s="25"/>
    </row>
    <row r="58" spans="2:11">
      <c r="B58" s="13">
        <f t="shared" si="5"/>
        <v>5</v>
      </c>
      <c r="D58" s="18">
        <f t="shared" si="6"/>
        <v>0.22339999999999999</v>
      </c>
      <c r="F58" s="15">
        <f t="shared" si="7"/>
        <v>1370280.0223124987</v>
      </c>
      <c r="G58" s="15">
        <f t="shared" si="8"/>
        <v>4110840.0669374955</v>
      </c>
      <c r="H58" s="15">
        <f t="shared" si="9"/>
        <v>21924480.35699999</v>
      </c>
      <c r="J58" s="15">
        <f t="shared" si="10"/>
        <v>27405600.446249984</v>
      </c>
      <c r="K58" s="25"/>
    </row>
    <row r="59" spans="2:11">
      <c r="B59" s="13">
        <f t="shared" si="5"/>
        <v>6</v>
      </c>
      <c r="D59" s="18">
        <f t="shared" si="6"/>
        <v>0.24010000000000001</v>
      </c>
      <c r="F59" s="15">
        <f t="shared" si="7"/>
        <v>1759813.6590769228</v>
      </c>
      <c r="G59" s="15">
        <f t="shared" si="8"/>
        <v>4692836.4242051272</v>
      </c>
      <c r="H59" s="15">
        <f t="shared" si="9"/>
        <v>22877577.567999993</v>
      </c>
      <c r="J59" s="15">
        <f t="shared" si="10"/>
        <v>29330227.651282042</v>
      </c>
      <c r="K59" s="25"/>
    </row>
    <row r="60" spans="2:11">
      <c r="B60" s="13">
        <f t="shared" si="5"/>
        <v>7</v>
      </c>
      <c r="D60" s="18">
        <f t="shared" si="6"/>
        <v>0.26050000000000001</v>
      </c>
      <c r="F60" s="15">
        <f t="shared" si="7"/>
        <v>2227263.4159066663</v>
      </c>
      <c r="G60" s="15">
        <f t="shared" si="8"/>
        <v>5727248.7837599982</v>
      </c>
      <c r="H60" s="15">
        <f t="shared" si="9"/>
        <v>23863536.598999996</v>
      </c>
      <c r="J60" s="15">
        <f t="shared" si="10"/>
        <v>31818048.79866666</v>
      </c>
      <c r="K60" s="25"/>
    </row>
    <row r="61" spans="2:11">
      <c r="B61" s="13">
        <f t="shared" si="5"/>
        <v>8</v>
      </c>
      <c r="D61" s="18">
        <f t="shared" si="6"/>
        <v>0.28149999999999997</v>
      </c>
      <c r="F61" s="15">
        <f t="shared" si="7"/>
        <v>2764800</v>
      </c>
      <c r="G61" s="15">
        <f t="shared" si="8"/>
        <v>6912000</v>
      </c>
      <c r="H61" s="15">
        <f t="shared" si="9"/>
        <v>24883200</v>
      </c>
      <c r="J61" s="15">
        <f t="shared" si="10"/>
        <v>34560000</v>
      </c>
      <c r="K61" s="25"/>
    </row>
    <row r="62" spans="2:11">
      <c r="D62" s="18"/>
    </row>
    <row r="63" spans="2:11">
      <c r="B63" s="21" t="s">
        <v>27</v>
      </c>
      <c r="C63" s="20"/>
      <c r="D63" s="20"/>
      <c r="E63" s="20"/>
      <c r="F63" s="20"/>
      <c r="G63" s="20"/>
      <c r="H63" s="20"/>
      <c r="I63" s="20"/>
      <c r="J63" s="20"/>
    </row>
    <row r="64" spans="2:11" ht="5.0999999999999996" customHeight="1" thickBot="1"/>
    <row r="65" spans="2:12" ht="14.25" thickBot="1">
      <c r="B65" s="28" t="s">
        <v>28</v>
      </c>
      <c r="C65" s="29"/>
      <c r="D65" s="30">
        <f>ROUND((D9/-D7)^(1/YEARFRAC(F7,F9))-1,4)</f>
        <v>0.2457</v>
      </c>
      <c r="F65" s="33">
        <f>INDEX(B54:B61,MATCH(D65,D54:D61,1))</f>
        <v>6</v>
      </c>
    </row>
    <row r="66" spans="2:12" ht="5.0999999999999996" customHeight="1"/>
    <row r="67" spans="2:12" ht="13.9">
      <c r="B67" s="31" t="s">
        <v>36</v>
      </c>
    </row>
    <row r="68" spans="2:12">
      <c r="B68" s="1" t="s">
        <v>7</v>
      </c>
      <c r="D68" s="15">
        <f>VLOOKUP($D$65,$D$54:$H$61,3,TRUE)</f>
        <v>1759813.6590769228</v>
      </c>
      <c r="F68" s="18">
        <f>D68/SUM($D$68:$D$70)</f>
        <v>6.0000000000000012E-2</v>
      </c>
      <c r="L68" s="1" t="s">
        <v>30</v>
      </c>
    </row>
    <row r="69" spans="2:12">
      <c r="B69" s="1" t="s">
        <v>8</v>
      </c>
      <c r="D69" s="15">
        <f>VLOOKUP($D$65,$D$54:$H$61,4,TRUE)</f>
        <v>4692836.4242051272</v>
      </c>
      <c r="F69" s="18">
        <f t="shared" ref="F69:F70" si="11">D69/SUM($D$68:$D$70)</f>
        <v>0.16</v>
      </c>
      <c r="L69" s="1" t="s">
        <v>30</v>
      </c>
    </row>
    <row r="70" spans="2:12">
      <c r="B70" s="1" t="s">
        <v>9</v>
      </c>
      <c r="D70" s="15">
        <f>VLOOKUP($D$65,$D$54:$H$61,5,TRUE)</f>
        <v>22877577.567999993</v>
      </c>
      <c r="F70" s="18">
        <f t="shared" si="11"/>
        <v>0.78</v>
      </c>
      <c r="L70" s="1" t="s">
        <v>30</v>
      </c>
    </row>
    <row r="71" spans="2:12" ht="5.0999999999999996" customHeight="1"/>
    <row r="72" spans="2:12">
      <c r="B72" s="26" t="s">
        <v>31</v>
      </c>
      <c r="C72" s="26"/>
      <c r="D72" s="27">
        <f>SUBTOTAL(9,D68:D70)</f>
        <v>29330227.651282042</v>
      </c>
    </row>
    <row r="74" spans="2:12">
      <c r="B74" s="1" t="s">
        <v>29</v>
      </c>
      <c r="D74" s="15">
        <f>MAX(D9-D72,0)</f>
        <v>669772.34871795774</v>
      </c>
    </row>
    <row r="76" spans="2:12" ht="13.9">
      <c r="B76" s="31" t="s">
        <v>35</v>
      </c>
    </row>
    <row r="77" spans="2:12">
      <c r="B77" s="1" t="s">
        <v>7</v>
      </c>
      <c r="D77" s="15">
        <f>$D$74*F77</f>
        <v>40186.340923077471</v>
      </c>
      <c r="F77" s="18">
        <f>F68</f>
        <v>6.0000000000000012E-2</v>
      </c>
      <c r="L77" s="1" t="s">
        <v>41</v>
      </c>
    </row>
    <row r="78" spans="2:12">
      <c r="B78" s="1" t="s">
        <v>8</v>
      </c>
      <c r="D78" s="15">
        <f>$D$74*F78</f>
        <v>107163.57579487324</v>
      </c>
      <c r="F78" s="18">
        <f t="shared" ref="F78:F79" si="12">F69</f>
        <v>0.16</v>
      </c>
      <c r="L78" s="1" t="s">
        <v>41</v>
      </c>
    </row>
    <row r="79" spans="2:12">
      <c r="B79" s="1" t="s">
        <v>9</v>
      </c>
      <c r="D79" s="15">
        <f>$D$74*F79</f>
        <v>522422.43200000707</v>
      </c>
      <c r="F79" s="18">
        <f t="shared" si="12"/>
        <v>0.78</v>
      </c>
      <c r="L79" s="1" t="s">
        <v>41</v>
      </c>
    </row>
    <row r="80" spans="2:12" ht="5.0999999999999996" customHeight="1"/>
    <row r="81" spans="2:12">
      <c r="B81" s="26" t="s">
        <v>31</v>
      </c>
      <c r="C81" s="26"/>
      <c r="D81" s="27">
        <f>SUBTOTAL(9,D77:D79)</f>
        <v>669772.34871795774</v>
      </c>
    </row>
    <row r="82" spans="2:12" ht="5.0999999999999996" customHeight="1"/>
    <row r="83" spans="2:12">
      <c r="B83" s="21" t="s">
        <v>32</v>
      </c>
      <c r="C83" s="20"/>
      <c r="D83" s="20"/>
      <c r="E83" s="20"/>
      <c r="F83" s="20"/>
      <c r="G83" s="20"/>
      <c r="H83" s="20"/>
      <c r="I83" s="20"/>
      <c r="J83" s="20"/>
    </row>
    <row r="84" spans="2:12" ht="5.0999999999999996" customHeight="1"/>
    <row r="85" spans="2:12">
      <c r="B85" s="1" t="s">
        <v>7</v>
      </c>
      <c r="D85" s="15">
        <f>D68+D77</f>
        <v>1800000.0000000002</v>
      </c>
      <c r="F85" s="18">
        <f>D85/SUM($D$85:$D$87)</f>
        <v>6.0000000000000005E-2</v>
      </c>
    </row>
    <row r="86" spans="2:12">
      <c r="B86" s="1" t="s">
        <v>8</v>
      </c>
      <c r="D86" s="15">
        <f>D69+D78</f>
        <v>4800000</v>
      </c>
      <c r="F86" s="18">
        <f t="shared" ref="F86:F87" si="13">D86/SUM($D$85:$D$87)</f>
        <v>0.16</v>
      </c>
    </row>
    <row r="87" spans="2:12">
      <c r="B87" s="1" t="s">
        <v>9</v>
      </c>
      <c r="D87" s="15">
        <f>D70+D79</f>
        <v>23400000</v>
      </c>
      <c r="F87" s="18">
        <f t="shared" si="13"/>
        <v>0.78</v>
      </c>
    </row>
    <row r="88" spans="2:12" ht="5.0999999999999996" customHeight="1"/>
    <row r="89" spans="2:12">
      <c r="B89" s="26" t="s">
        <v>0</v>
      </c>
      <c r="C89" s="26"/>
      <c r="D89" s="27">
        <f>SUBTOTAL(9,D85:D87)</f>
        <v>30000000</v>
      </c>
      <c r="L89" s="1" t="s">
        <v>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1C1A2-B954-480B-97CE-2CED05102333}">
  <sheetPr>
    <pageSetUpPr fitToPage="1"/>
  </sheetPr>
  <dimension ref="B1:T136"/>
  <sheetViews>
    <sheetView showGridLines="0" zoomScale="85" zoomScaleNormal="85" zoomScaleSheetLayoutView="85" workbookViewId="0"/>
  </sheetViews>
  <sheetFormatPr defaultColWidth="9.1328125" defaultRowHeight="14.25"/>
  <cols>
    <col min="1" max="1" width="1.73046875" style="39" customWidth="1"/>
    <col min="2" max="2" width="35.59765625" style="39" customWidth="1"/>
    <col min="3" max="3" width="10.73046875" style="39" customWidth="1"/>
    <col min="4" max="4" width="15.73046875" style="39" customWidth="1"/>
    <col min="5" max="5" width="1.73046875" style="39" customWidth="1"/>
    <col min="6" max="6" width="13.265625" style="39" customWidth="1"/>
    <col min="7" max="7" width="1.73046875" style="39" customWidth="1"/>
    <col min="8" max="18" width="13.265625" style="40" customWidth="1"/>
    <col min="19" max="19" width="1.73046875" style="39" customWidth="1"/>
    <col min="20" max="20" width="50.73046875" style="39" customWidth="1"/>
    <col min="21" max="16384" width="9.1328125" style="39"/>
  </cols>
  <sheetData>
    <row r="1" spans="2:20" ht="5.0999999999999996" customHeight="1"/>
    <row r="2" spans="2:20" ht="15.75">
      <c r="B2" s="119" t="s">
        <v>98</v>
      </c>
      <c r="C2" s="120"/>
      <c r="D2" s="120"/>
      <c r="E2" s="120"/>
      <c r="F2" s="120"/>
      <c r="G2" s="120"/>
      <c r="H2" s="121"/>
      <c r="I2" s="121"/>
      <c r="J2" s="121"/>
      <c r="K2" s="121"/>
      <c r="L2" s="121"/>
      <c r="M2" s="121"/>
      <c r="N2" s="121"/>
      <c r="O2" s="121"/>
      <c r="P2" s="121"/>
      <c r="Q2" s="121"/>
      <c r="R2" s="121"/>
      <c r="T2" s="121" t="s">
        <v>97</v>
      </c>
    </row>
    <row r="3" spans="2:20" ht="5.0999999999999996" customHeight="1"/>
    <row r="4" spans="2:20">
      <c r="B4" s="89" t="s">
        <v>93</v>
      </c>
      <c r="C4" s="89"/>
      <c r="D4" s="89"/>
      <c r="E4" s="89"/>
      <c r="F4" s="118" t="s">
        <v>96</v>
      </c>
      <c r="G4" s="118"/>
      <c r="H4" s="118" t="s">
        <v>95</v>
      </c>
    </row>
    <row r="5" spans="2:20">
      <c r="B5" s="62" t="s">
        <v>94</v>
      </c>
      <c r="C5" s="62"/>
      <c r="D5" s="62"/>
      <c r="E5" s="62"/>
      <c r="F5" s="109">
        <f>H5*F7</f>
        <v>0</v>
      </c>
      <c r="G5" s="109"/>
      <c r="H5" s="117">
        <v>0</v>
      </c>
      <c r="I5" s="111"/>
    </row>
    <row r="6" spans="2:20">
      <c r="B6" s="62" t="s">
        <v>74</v>
      </c>
      <c r="C6" s="62"/>
      <c r="D6" s="62"/>
      <c r="E6" s="62"/>
      <c r="F6" s="109">
        <f>H6*F7</f>
        <v>10000000</v>
      </c>
      <c r="G6" s="109"/>
      <c r="H6" s="116">
        <f>H7-H5</f>
        <v>1</v>
      </c>
      <c r="I6" s="111"/>
    </row>
    <row r="7" spans="2:20">
      <c r="B7" s="115" t="s">
        <v>93</v>
      </c>
      <c r="C7" s="115"/>
      <c r="D7" s="115"/>
      <c r="E7" s="115"/>
      <c r="F7" s="114">
        <v>10000000</v>
      </c>
      <c r="G7" s="113"/>
      <c r="H7" s="112">
        <v>1</v>
      </c>
      <c r="I7" s="111"/>
    </row>
    <row r="8" spans="2:20" s="62" customFormat="1" ht="5.0999999999999996" customHeight="1">
      <c r="C8" s="110"/>
      <c r="D8" s="109"/>
      <c r="E8" s="109"/>
      <c r="H8" s="83"/>
      <c r="I8" s="108"/>
      <c r="J8" s="86"/>
      <c r="K8" s="86"/>
      <c r="L8" s="86"/>
      <c r="M8" s="86"/>
      <c r="N8" s="86"/>
      <c r="O8" s="86"/>
      <c r="P8" s="86"/>
      <c r="Q8" s="86"/>
      <c r="R8" s="86"/>
    </row>
    <row r="9" spans="2:20">
      <c r="B9" s="107" t="s">
        <v>92</v>
      </c>
      <c r="C9" s="106"/>
      <c r="D9" s="106"/>
      <c r="E9" s="106"/>
      <c r="F9" s="106"/>
      <c r="G9" s="106"/>
      <c r="H9" s="106"/>
      <c r="I9" s="105"/>
      <c r="J9" s="91"/>
      <c r="K9" s="91"/>
      <c r="L9" s="91"/>
    </row>
    <row r="10" spans="2:20" ht="5.0999999999999996" customHeight="1">
      <c r="B10" s="102"/>
      <c r="C10" s="102"/>
      <c r="D10" s="102"/>
      <c r="E10" s="91"/>
      <c r="F10" s="102"/>
      <c r="G10" s="102"/>
      <c r="H10" s="102"/>
      <c r="I10" s="105"/>
      <c r="J10" s="91"/>
      <c r="K10" s="91"/>
      <c r="L10" s="102"/>
    </row>
    <row r="11" spans="2:20">
      <c r="B11" s="102"/>
      <c r="C11" s="101"/>
      <c r="D11" s="40"/>
      <c r="E11" s="104"/>
      <c r="F11" s="103" t="s">
        <v>91</v>
      </c>
      <c r="G11" s="103"/>
      <c r="H11" s="103"/>
      <c r="J11" s="39"/>
      <c r="K11" s="39"/>
    </row>
    <row r="12" spans="2:20">
      <c r="B12" s="102"/>
      <c r="D12" s="101" t="s">
        <v>90</v>
      </c>
      <c r="E12" s="62"/>
      <c r="F12" s="100" t="s">
        <v>74</v>
      </c>
      <c r="G12" s="40"/>
      <c r="H12" s="100" t="s">
        <v>46</v>
      </c>
      <c r="J12" s="100"/>
      <c r="K12" s="39"/>
    </row>
    <row r="13" spans="2:20">
      <c r="B13" s="98">
        <v>1</v>
      </c>
      <c r="D13" s="97">
        <v>0.08</v>
      </c>
      <c r="E13" s="92"/>
      <c r="F13" s="97">
        <v>1</v>
      </c>
      <c r="G13" s="96"/>
      <c r="H13" s="95">
        <f>1-F13</f>
        <v>0</v>
      </c>
      <c r="I13" s="61"/>
      <c r="J13" s="61"/>
      <c r="K13" s="61"/>
      <c r="L13" s="61"/>
      <c r="M13" s="61"/>
      <c r="N13" s="61"/>
      <c r="O13" s="61"/>
      <c r="P13" s="61"/>
      <c r="Q13" s="61"/>
      <c r="R13" s="61"/>
    </row>
    <row r="14" spans="2:20">
      <c r="B14" s="98">
        <f>+B13+1</f>
        <v>2</v>
      </c>
      <c r="D14" s="97">
        <v>0.125</v>
      </c>
      <c r="E14" s="92"/>
      <c r="F14" s="97">
        <v>0.85</v>
      </c>
      <c r="G14" s="96"/>
      <c r="H14" s="95">
        <f>1-F14</f>
        <v>0.15000000000000002</v>
      </c>
      <c r="I14" s="99"/>
      <c r="J14" s="99"/>
      <c r="K14" s="99"/>
      <c r="L14" s="99"/>
      <c r="M14" s="99"/>
      <c r="N14" s="99"/>
      <c r="O14" s="99"/>
      <c r="P14" s="99"/>
      <c r="Q14" s="99"/>
      <c r="R14" s="99"/>
      <c r="T14" s="39" t="s">
        <v>89</v>
      </c>
    </row>
    <row r="15" spans="2:20">
      <c r="B15" s="98">
        <f>+B14+1</f>
        <v>3</v>
      </c>
      <c r="D15" s="97">
        <v>0.15</v>
      </c>
      <c r="E15" s="92"/>
      <c r="F15" s="97">
        <v>0.75</v>
      </c>
      <c r="G15" s="96"/>
      <c r="H15" s="95">
        <f>1-F15</f>
        <v>0.25</v>
      </c>
      <c r="J15" s="90"/>
      <c r="K15" s="39"/>
      <c r="O15" s="86"/>
    </row>
    <row r="16" spans="2:20">
      <c r="B16" s="98">
        <f>+B15+1</f>
        <v>4</v>
      </c>
      <c r="D16" s="97">
        <v>0.17499999999999999</v>
      </c>
      <c r="E16" s="92"/>
      <c r="F16" s="97">
        <v>0.6</v>
      </c>
      <c r="G16" s="96"/>
      <c r="H16" s="95">
        <f>1-F16</f>
        <v>0.4</v>
      </c>
      <c r="J16" s="90"/>
      <c r="K16" s="39"/>
      <c r="O16" s="86"/>
    </row>
    <row r="17" spans="2:18">
      <c r="B17" s="98">
        <f>+B16+1</f>
        <v>5</v>
      </c>
      <c r="D17" s="97">
        <v>0.2</v>
      </c>
      <c r="E17" s="92"/>
      <c r="F17" s="97">
        <v>0.5</v>
      </c>
      <c r="G17" s="96"/>
      <c r="H17" s="95">
        <f>1-F17</f>
        <v>0.5</v>
      </c>
      <c r="J17" s="90"/>
      <c r="K17" s="39"/>
      <c r="O17" s="86"/>
    </row>
    <row r="18" spans="2:18" s="62" customFormat="1" ht="5.0999999999999996" customHeight="1">
      <c r="B18" s="94"/>
      <c r="C18" s="93"/>
      <c r="D18" s="92"/>
      <c r="E18" s="92"/>
      <c r="F18" s="91"/>
      <c r="G18" s="91"/>
      <c r="H18" s="92"/>
      <c r="I18" s="92"/>
      <c r="J18" s="90"/>
      <c r="K18" s="91"/>
      <c r="L18" s="90"/>
      <c r="M18" s="86"/>
      <c r="N18" s="86"/>
      <c r="O18" s="86"/>
      <c r="P18" s="86"/>
      <c r="Q18" s="86"/>
      <c r="R18" s="86"/>
    </row>
    <row r="19" spans="2:18">
      <c r="B19" s="89" t="s">
        <v>87</v>
      </c>
      <c r="C19" s="88"/>
      <c r="D19" s="88"/>
      <c r="E19" s="88"/>
      <c r="F19" s="87"/>
      <c r="G19" s="87"/>
      <c r="H19" s="87"/>
      <c r="I19" s="87"/>
      <c r="J19" s="87"/>
      <c r="K19" s="87"/>
      <c r="L19" s="87"/>
      <c r="M19" s="87"/>
      <c r="N19" s="87"/>
      <c r="O19" s="87"/>
      <c r="P19" s="87"/>
      <c r="Q19" s="87"/>
      <c r="R19" s="87"/>
    </row>
    <row r="20" spans="2:18" s="62" customFormat="1">
      <c r="B20" s="62" t="s">
        <v>88</v>
      </c>
      <c r="F20" s="86"/>
      <c r="G20" s="86"/>
      <c r="H20" s="85">
        <v>0</v>
      </c>
      <c r="I20" s="85">
        <f t="shared" ref="I20:R20" si="0">H20+1</f>
        <v>1</v>
      </c>
      <c r="J20" s="85">
        <f t="shared" si="0"/>
        <v>2</v>
      </c>
      <c r="K20" s="85">
        <f t="shared" si="0"/>
        <v>3</v>
      </c>
      <c r="L20" s="85">
        <f t="shared" si="0"/>
        <v>4</v>
      </c>
      <c r="M20" s="85">
        <f t="shared" si="0"/>
        <v>5</v>
      </c>
      <c r="N20" s="85">
        <f t="shared" si="0"/>
        <v>6</v>
      </c>
      <c r="O20" s="85">
        <f t="shared" si="0"/>
        <v>7</v>
      </c>
      <c r="P20" s="85">
        <f t="shared" si="0"/>
        <v>8</v>
      </c>
      <c r="Q20" s="85">
        <f t="shared" si="0"/>
        <v>9</v>
      </c>
      <c r="R20" s="85">
        <f t="shared" si="0"/>
        <v>10</v>
      </c>
    </row>
    <row r="21" spans="2:18">
      <c r="B21" s="62" t="s">
        <v>37</v>
      </c>
      <c r="C21" s="62"/>
      <c r="D21" s="62"/>
      <c r="E21" s="62"/>
      <c r="F21" s="83"/>
      <c r="G21" s="83"/>
      <c r="H21" s="84">
        <v>43100</v>
      </c>
      <c r="I21" s="81">
        <f t="shared" ref="I21:R21" si="1">DATE(YEAR(H21)+1,MONTH(H21),DAY(H21))</f>
        <v>43465</v>
      </c>
      <c r="J21" s="81">
        <f t="shared" si="1"/>
        <v>43830</v>
      </c>
      <c r="K21" s="81">
        <f t="shared" si="1"/>
        <v>44196</v>
      </c>
      <c r="L21" s="81">
        <f t="shared" si="1"/>
        <v>44561</v>
      </c>
      <c r="M21" s="81">
        <f t="shared" si="1"/>
        <v>44926</v>
      </c>
      <c r="N21" s="81">
        <f t="shared" si="1"/>
        <v>45291</v>
      </c>
      <c r="O21" s="81">
        <f t="shared" si="1"/>
        <v>45657</v>
      </c>
      <c r="P21" s="81">
        <f t="shared" si="1"/>
        <v>46022</v>
      </c>
      <c r="Q21" s="81">
        <f t="shared" si="1"/>
        <v>46387</v>
      </c>
      <c r="R21" s="81">
        <f t="shared" si="1"/>
        <v>46752</v>
      </c>
    </row>
    <row r="22" spans="2:18" s="62" customFormat="1" ht="5.0999999999999996" customHeight="1">
      <c r="F22" s="83"/>
      <c r="G22" s="83"/>
      <c r="H22" s="82"/>
      <c r="I22" s="81"/>
      <c r="J22" s="81"/>
      <c r="K22" s="81"/>
      <c r="L22" s="81"/>
      <c r="M22" s="81"/>
      <c r="N22" s="81"/>
      <c r="O22" s="81"/>
      <c r="P22" s="81"/>
      <c r="Q22" s="81"/>
      <c r="R22" s="81"/>
    </row>
    <row r="23" spans="2:18">
      <c r="B23" s="62" t="s">
        <v>87</v>
      </c>
      <c r="C23" s="62"/>
      <c r="D23" s="62"/>
      <c r="E23" s="62"/>
      <c r="F23" s="62"/>
      <c r="G23" s="62"/>
      <c r="H23" s="80">
        <f>-F7</f>
        <v>-10000000</v>
      </c>
      <c r="I23" s="80">
        <v>500000</v>
      </c>
      <c r="J23" s="80">
        <v>500000</v>
      </c>
      <c r="K23" s="80">
        <v>750000</v>
      </c>
      <c r="L23" s="80">
        <v>750000</v>
      </c>
      <c r="M23" s="80">
        <v>1000000</v>
      </c>
      <c r="N23" s="80">
        <v>25000000</v>
      </c>
      <c r="O23" s="80">
        <v>0</v>
      </c>
      <c r="P23" s="80">
        <v>0</v>
      </c>
      <c r="Q23" s="80">
        <v>0</v>
      </c>
      <c r="R23" s="80">
        <v>0</v>
      </c>
    </row>
    <row r="24" spans="2:18">
      <c r="B24" s="62" t="s">
        <v>63</v>
      </c>
      <c r="C24" s="62"/>
      <c r="D24" s="62"/>
      <c r="E24" s="62"/>
      <c r="F24" s="62"/>
      <c r="G24" s="62"/>
      <c r="H24" s="79">
        <f>XIRR(H23:R23,H21:R21)</f>
        <v>0.2071834623813629</v>
      </c>
      <c r="I24" s="78"/>
      <c r="J24" s="78"/>
      <c r="K24" s="78"/>
      <c r="L24" s="78"/>
      <c r="M24" s="78"/>
      <c r="N24" s="78"/>
      <c r="O24" s="78"/>
      <c r="P24" s="78"/>
      <c r="Q24" s="78"/>
      <c r="R24" s="78"/>
    </row>
    <row r="25" spans="2:18" ht="5.0999999999999996" customHeight="1">
      <c r="H25" s="77"/>
    </row>
    <row r="26" spans="2:18">
      <c r="B26" s="122" t="s">
        <v>86</v>
      </c>
      <c r="C26" s="123">
        <f>D13</f>
        <v>0.08</v>
      </c>
      <c r="D26" s="124"/>
      <c r="E26" s="124"/>
      <c r="F26" s="124"/>
      <c r="G26" s="124"/>
      <c r="H26" s="125"/>
      <c r="I26" s="125"/>
      <c r="J26" s="125"/>
      <c r="K26" s="125"/>
      <c r="L26" s="125"/>
      <c r="M26" s="125"/>
      <c r="N26" s="125"/>
      <c r="O26" s="125"/>
      <c r="P26" s="125"/>
      <c r="Q26" s="125"/>
      <c r="R26" s="125"/>
    </row>
    <row r="27" spans="2:18" s="62" customFormat="1" ht="5.0999999999999996" customHeight="1">
      <c r="B27" s="76"/>
      <c r="C27" s="71"/>
      <c r="D27" s="70"/>
      <c r="E27" s="70"/>
      <c r="F27" s="70"/>
      <c r="G27" s="70"/>
      <c r="H27" s="69"/>
      <c r="I27" s="69"/>
      <c r="J27" s="69"/>
      <c r="K27" s="69"/>
      <c r="L27" s="69"/>
      <c r="M27" s="69"/>
      <c r="N27" s="69"/>
      <c r="O27" s="69"/>
      <c r="P27" s="69"/>
      <c r="Q27" s="69"/>
      <c r="R27" s="69"/>
    </row>
    <row r="28" spans="2:18">
      <c r="B28" s="43" t="s">
        <v>79</v>
      </c>
      <c r="C28" s="43"/>
      <c r="D28" s="43"/>
      <c r="E28" s="43"/>
      <c r="F28" s="43"/>
      <c r="G28" s="43"/>
      <c r="H28" s="43"/>
      <c r="I28" s="53">
        <f t="shared" ref="I28:R28" si="2">H33</f>
        <v>10000000</v>
      </c>
      <c r="J28" s="53">
        <f t="shared" si="2"/>
        <v>10300000</v>
      </c>
      <c r="K28" s="53">
        <f t="shared" si="2"/>
        <v>10624000</v>
      </c>
      <c r="L28" s="53">
        <f t="shared" si="2"/>
        <v>10726248.547945205</v>
      </c>
      <c r="M28" s="53">
        <f t="shared" si="2"/>
        <v>10834348.431780823</v>
      </c>
      <c r="N28" s="53">
        <f t="shared" si="2"/>
        <v>10701096.306323288</v>
      </c>
      <c r="O28" s="53">
        <f t="shared" si="2"/>
        <v>0</v>
      </c>
      <c r="P28" s="53">
        <f t="shared" si="2"/>
        <v>0</v>
      </c>
      <c r="Q28" s="53">
        <f t="shared" si="2"/>
        <v>0</v>
      </c>
      <c r="R28" s="53">
        <f t="shared" si="2"/>
        <v>0</v>
      </c>
    </row>
    <row r="29" spans="2:18">
      <c r="B29" s="68" t="s">
        <v>55</v>
      </c>
      <c r="C29" s="43"/>
      <c r="D29" s="43"/>
      <c r="E29" s="43"/>
      <c r="F29" s="43"/>
      <c r="G29" s="43"/>
      <c r="H29" s="43"/>
      <c r="I29" s="53">
        <f t="shared" ref="I29:R29" si="3">I28*($C26/365)*(I$21-H$21)</f>
        <v>800000</v>
      </c>
      <c r="J29" s="53">
        <f t="shared" si="3"/>
        <v>824000</v>
      </c>
      <c r="K29" s="53">
        <f t="shared" si="3"/>
        <v>852248.54794520559</v>
      </c>
      <c r="L29" s="53">
        <f t="shared" si="3"/>
        <v>858099.88383561652</v>
      </c>
      <c r="M29" s="53">
        <f t="shared" si="3"/>
        <v>866747.87454246578</v>
      </c>
      <c r="N29" s="53">
        <f t="shared" si="3"/>
        <v>856087.70450586313</v>
      </c>
      <c r="O29" s="53">
        <f t="shared" si="3"/>
        <v>0</v>
      </c>
      <c r="P29" s="53">
        <f t="shared" si="3"/>
        <v>0</v>
      </c>
      <c r="Q29" s="53">
        <f t="shared" si="3"/>
        <v>0</v>
      </c>
      <c r="R29" s="53">
        <f t="shared" si="3"/>
        <v>0</v>
      </c>
    </row>
    <row r="30" spans="2:18">
      <c r="B30" s="68" t="s">
        <v>78</v>
      </c>
      <c r="C30" s="43"/>
      <c r="D30" s="43"/>
      <c r="E30" s="43"/>
      <c r="F30" s="43"/>
      <c r="G30" s="43"/>
      <c r="H30" s="43"/>
      <c r="I30" s="53">
        <f t="shared" ref="I30:R30" si="4">-MIN(0,I$23*$H$6)</f>
        <v>0</v>
      </c>
      <c r="J30" s="53">
        <f t="shared" si="4"/>
        <v>0</v>
      </c>
      <c r="K30" s="53">
        <f t="shared" si="4"/>
        <v>0</v>
      </c>
      <c r="L30" s="53">
        <f t="shared" si="4"/>
        <v>0</v>
      </c>
      <c r="M30" s="53">
        <f t="shared" si="4"/>
        <v>0</v>
      </c>
      <c r="N30" s="53">
        <f t="shared" si="4"/>
        <v>0</v>
      </c>
      <c r="O30" s="53">
        <f t="shared" si="4"/>
        <v>0</v>
      </c>
      <c r="P30" s="53">
        <f t="shared" si="4"/>
        <v>0</v>
      </c>
      <c r="Q30" s="53">
        <f t="shared" si="4"/>
        <v>0</v>
      </c>
      <c r="R30" s="53">
        <f t="shared" si="4"/>
        <v>0</v>
      </c>
    </row>
    <row r="31" spans="2:18">
      <c r="B31" s="68" t="s">
        <v>85</v>
      </c>
      <c r="C31" s="43"/>
      <c r="D31" s="43"/>
      <c r="E31" s="43"/>
      <c r="F31" s="43"/>
      <c r="G31" s="43"/>
      <c r="H31" s="43"/>
      <c r="I31" s="53">
        <f t="shared" ref="I31:R31" si="5">-MIN(0,I$23*$H$5)</f>
        <v>0</v>
      </c>
      <c r="J31" s="53">
        <f t="shared" si="5"/>
        <v>0</v>
      </c>
      <c r="K31" s="53">
        <f t="shared" si="5"/>
        <v>0</v>
      </c>
      <c r="L31" s="53">
        <f t="shared" si="5"/>
        <v>0</v>
      </c>
      <c r="M31" s="53">
        <f t="shared" si="5"/>
        <v>0</v>
      </c>
      <c r="N31" s="53">
        <f t="shared" si="5"/>
        <v>0</v>
      </c>
      <c r="O31" s="53">
        <f t="shared" si="5"/>
        <v>0</v>
      </c>
      <c r="P31" s="53">
        <f t="shared" si="5"/>
        <v>0</v>
      </c>
      <c r="Q31" s="53">
        <f t="shared" si="5"/>
        <v>0</v>
      </c>
      <c r="R31" s="53">
        <f t="shared" si="5"/>
        <v>0</v>
      </c>
    </row>
    <row r="32" spans="2:18">
      <c r="B32" s="68" t="s">
        <v>76</v>
      </c>
      <c r="C32" s="43"/>
      <c r="D32" s="43"/>
      <c r="E32" s="43"/>
      <c r="F32" s="43"/>
      <c r="G32" s="43"/>
      <c r="H32" s="43"/>
      <c r="I32" s="53">
        <f t="shared" ref="I32:R32" si="6">MIN(I28+I29,MAX(I23,0)*$F$13)</f>
        <v>500000</v>
      </c>
      <c r="J32" s="53">
        <f t="shared" si="6"/>
        <v>500000</v>
      </c>
      <c r="K32" s="53">
        <f t="shared" si="6"/>
        <v>750000</v>
      </c>
      <c r="L32" s="53">
        <f t="shared" si="6"/>
        <v>750000</v>
      </c>
      <c r="M32" s="53">
        <f t="shared" si="6"/>
        <v>1000000</v>
      </c>
      <c r="N32" s="53">
        <f t="shared" si="6"/>
        <v>11557184.010829151</v>
      </c>
      <c r="O32" s="53">
        <f t="shared" si="6"/>
        <v>0</v>
      </c>
      <c r="P32" s="53">
        <f t="shared" si="6"/>
        <v>0</v>
      </c>
      <c r="Q32" s="53">
        <f t="shared" si="6"/>
        <v>0</v>
      </c>
      <c r="R32" s="53">
        <f t="shared" si="6"/>
        <v>0</v>
      </c>
    </row>
    <row r="33" spans="2:18">
      <c r="B33" s="43" t="s">
        <v>75</v>
      </c>
      <c r="C33" s="43"/>
      <c r="D33" s="43"/>
      <c r="E33" s="43"/>
      <c r="F33" s="43"/>
      <c r="G33" s="43"/>
      <c r="H33" s="53">
        <f>$F$6</f>
        <v>10000000</v>
      </c>
      <c r="I33" s="53">
        <f t="shared" ref="I33:R33" si="7">I28+I29+I30-I32</f>
        <v>10300000</v>
      </c>
      <c r="J33" s="53">
        <f t="shared" si="7"/>
        <v>10624000</v>
      </c>
      <c r="K33" s="53">
        <f t="shared" si="7"/>
        <v>10726248.547945205</v>
      </c>
      <c r="L33" s="53">
        <f t="shared" si="7"/>
        <v>10834348.431780823</v>
      </c>
      <c r="M33" s="53">
        <f t="shared" si="7"/>
        <v>10701096.306323288</v>
      </c>
      <c r="N33" s="53">
        <f t="shared" si="7"/>
        <v>0</v>
      </c>
      <c r="O33" s="53">
        <f t="shared" si="7"/>
        <v>0</v>
      </c>
      <c r="P33" s="53">
        <f t="shared" si="7"/>
        <v>0</v>
      </c>
      <c r="Q33" s="53">
        <f t="shared" si="7"/>
        <v>0</v>
      </c>
      <c r="R33" s="53">
        <f t="shared" si="7"/>
        <v>0</v>
      </c>
    </row>
    <row r="34" spans="2:18" s="62" customFormat="1" ht="5.0999999999999996" customHeight="1">
      <c r="H34" s="61"/>
      <c r="I34" s="61"/>
      <c r="J34" s="61"/>
      <c r="K34" s="61"/>
      <c r="L34" s="61"/>
      <c r="M34" s="61"/>
      <c r="N34" s="61"/>
      <c r="O34" s="61"/>
      <c r="P34" s="61"/>
      <c r="Q34" s="61"/>
      <c r="R34" s="61"/>
    </row>
    <row r="35" spans="2:18" s="62" customFormat="1" ht="15" customHeight="1">
      <c r="B35" s="55" t="s">
        <v>65</v>
      </c>
      <c r="C35" s="43"/>
      <c r="D35" s="43"/>
      <c r="E35" s="43"/>
      <c r="F35" s="43"/>
      <c r="G35" s="43"/>
      <c r="H35" s="53"/>
      <c r="I35" s="53"/>
      <c r="J35" s="53"/>
      <c r="K35" s="53"/>
      <c r="L35" s="53"/>
      <c r="M35" s="53"/>
      <c r="N35" s="53"/>
      <c r="O35" s="53"/>
      <c r="P35" s="53"/>
      <c r="Q35" s="53"/>
      <c r="R35" s="53"/>
    </row>
    <row r="36" spans="2:18">
      <c r="B36" s="43" t="s">
        <v>74</v>
      </c>
      <c r="C36" s="43"/>
      <c r="D36" s="43"/>
      <c r="E36" s="43"/>
      <c r="F36" s="43"/>
      <c r="G36" s="43"/>
      <c r="H36" s="53"/>
      <c r="I36" s="53">
        <f t="shared" ref="I36:R36" si="8">I32</f>
        <v>500000</v>
      </c>
      <c r="J36" s="53">
        <f t="shared" si="8"/>
        <v>500000</v>
      </c>
      <c r="K36" s="53">
        <f t="shared" si="8"/>
        <v>750000</v>
      </c>
      <c r="L36" s="53">
        <f t="shared" si="8"/>
        <v>750000</v>
      </c>
      <c r="M36" s="53">
        <f t="shared" si="8"/>
        <v>1000000</v>
      </c>
      <c r="N36" s="53">
        <f t="shared" si="8"/>
        <v>11557184.010829151</v>
      </c>
      <c r="O36" s="53">
        <f t="shared" si="8"/>
        <v>0</v>
      </c>
      <c r="P36" s="53">
        <f t="shared" si="8"/>
        <v>0</v>
      </c>
      <c r="Q36" s="53">
        <f t="shared" si="8"/>
        <v>0</v>
      </c>
      <c r="R36" s="53">
        <f t="shared" si="8"/>
        <v>0</v>
      </c>
    </row>
    <row r="37" spans="2:18">
      <c r="B37" s="43" t="s">
        <v>46</v>
      </c>
      <c r="C37" s="43"/>
      <c r="D37" s="43"/>
      <c r="E37" s="43"/>
      <c r="F37" s="43"/>
      <c r="G37" s="43"/>
      <c r="H37" s="53"/>
      <c r="I37" s="53">
        <f t="shared" ref="I37:R37" si="9">I36/$F$13*$H$13</f>
        <v>0</v>
      </c>
      <c r="J37" s="53">
        <f t="shared" si="9"/>
        <v>0</v>
      </c>
      <c r="K37" s="53">
        <f t="shared" si="9"/>
        <v>0</v>
      </c>
      <c r="L37" s="53">
        <f t="shared" si="9"/>
        <v>0</v>
      </c>
      <c r="M37" s="53">
        <f t="shared" si="9"/>
        <v>0</v>
      </c>
      <c r="N37" s="53">
        <f t="shared" si="9"/>
        <v>0</v>
      </c>
      <c r="O37" s="53">
        <f t="shared" si="9"/>
        <v>0</v>
      </c>
      <c r="P37" s="53">
        <f t="shared" si="9"/>
        <v>0</v>
      </c>
      <c r="Q37" s="53">
        <f t="shared" si="9"/>
        <v>0</v>
      </c>
      <c r="R37" s="53">
        <f t="shared" si="9"/>
        <v>0</v>
      </c>
    </row>
    <row r="38" spans="2:18">
      <c r="B38" s="51" t="s">
        <v>73</v>
      </c>
      <c r="C38" s="51"/>
      <c r="D38" s="51"/>
      <c r="E38" s="51"/>
      <c r="F38" s="51"/>
      <c r="G38" s="51"/>
      <c r="H38" s="63"/>
      <c r="I38" s="63">
        <f t="shared" ref="I38:R38" si="10">SUM(I36:I37)</f>
        <v>500000</v>
      </c>
      <c r="J38" s="63">
        <f t="shared" si="10"/>
        <v>500000</v>
      </c>
      <c r="K38" s="63">
        <f t="shared" si="10"/>
        <v>750000</v>
      </c>
      <c r="L38" s="63">
        <f t="shared" si="10"/>
        <v>750000</v>
      </c>
      <c r="M38" s="63">
        <f t="shared" si="10"/>
        <v>1000000</v>
      </c>
      <c r="N38" s="63">
        <f t="shared" si="10"/>
        <v>11557184.010829151</v>
      </c>
      <c r="O38" s="63">
        <f t="shared" si="10"/>
        <v>0</v>
      </c>
      <c r="P38" s="63">
        <f t="shared" si="10"/>
        <v>0</v>
      </c>
      <c r="Q38" s="63">
        <f t="shared" si="10"/>
        <v>0</v>
      </c>
      <c r="R38" s="63">
        <f t="shared" si="10"/>
        <v>0</v>
      </c>
    </row>
    <row r="39" spans="2:18" s="62" customFormat="1" ht="5.0999999999999996" customHeight="1">
      <c r="H39" s="61"/>
      <c r="I39" s="61"/>
      <c r="J39" s="61"/>
      <c r="K39" s="61"/>
      <c r="L39" s="61"/>
      <c r="M39" s="61"/>
      <c r="N39" s="61"/>
      <c r="O39" s="61"/>
      <c r="P39" s="61"/>
      <c r="Q39" s="61"/>
      <c r="R39" s="61"/>
    </row>
    <row r="40" spans="2:18" s="75" customFormat="1">
      <c r="B40" s="55" t="s">
        <v>72</v>
      </c>
      <c r="C40" s="55"/>
      <c r="D40" s="55"/>
      <c r="E40" s="55"/>
      <c r="F40" s="55"/>
      <c r="G40" s="55"/>
      <c r="H40" s="60"/>
      <c r="I40" s="60">
        <f t="shared" ref="I40:R40" si="11">MAX(I23-I38,0)</f>
        <v>0</v>
      </c>
      <c r="J40" s="60">
        <f t="shared" si="11"/>
        <v>0</v>
      </c>
      <c r="K40" s="60">
        <f t="shared" si="11"/>
        <v>0</v>
      </c>
      <c r="L40" s="60">
        <f t="shared" si="11"/>
        <v>0</v>
      </c>
      <c r="M40" s="60">
        <f t="shared" si="11"/>
        <v>0</v>
      </c>
      <c r="N40" s="60">
        <f t="shared" si="11"/>
        <v>13442815.989170849</v>
      </c>
      <c r="O40" s="60">
        <f t="shared" si="11"/>
        <v>0</v>
      </c>
      <c r="P40" s="60">
        <f t="shared" si="11"/>
        <v>0</v>
      </c>
      <c r="Q40" s="60">
        <f t="shared" si="11"/>
        <v>0</v>
      </c>
      <c r="R40" s="60">
        <f t="shared" si="11"/>
        <v>0</v>
      </c>
    </row>
    <row r="41" spans="2:18" ht="5.0999999999999996" customHeight="1"/>
    <row r="42" spans="2:18">
      <c r="B42" s="134" t="s">
        <v>71</v>
      </c>
      <c r="C42" s="135">
        <f>XIRR(H42:R42,H21:R21)</f>
        <v>7.9998514056205797E-2</v>
      </c>
      <c r="D42" s="134"/>
      <c r="E42" s="134"/>
      <c r="F42" s="134"/>
      <c r="G42" s="134"/>
      <c r="H42" s="136">
        <f>-H33</f>
        <v>-10000000</v>
      </c>
      <c r="I42" s="136">
        <f t="shared" ref="I42:R42" si="12">I32</f>
        <v>500000</v>
      </c>
      <c r="J42" s="136">
        <f t="shared" si="12"/>
        <v>500000</v>
      </c>
      <c r="K42" s="136">
        <f t="shared" si="12"/>
        <v>750000</v>
      </c>
      <c r="L42" s="136">
        <f t="shared" si="12"/>
        <v>750000</v>
      </c>
      <c r="M42" s="136">
        <f t="shared" si="12"/>
        <v>1000000</v>
      </c>
      <c r="N42" s="136">
        <f t="shared" si="12"/>
        <v>11557184.010829151</v>
      </c>
      <c r="O42" s="136">
        <f t="shared" si="12"/>
        <v>0</v>
      </c>
      <c r="P42" s="136">
        <f t="shared" si="12"/>
        <v>0</v>
      </c>
      <c r="Q42" s="136">
        <f t="shared" si="12"/>
        <v>0</v>
      </c>
      <c r="R42" s="136">
        <f t="shared" si="12"/>
        <v>0</v>
      </c>
    </row>
    <row r="43" spans="2:18" ht="5.0999999999999996" customHeight="1"/>
    <row r="44" spans="2:18">
      <c r="B44" s="122" t="s">
        <v>84</v>
      </c>
      <c r="C44" s="126">
        <f>D14</f>
        <v>0.125</v>
      </c>
      <c r="D44" s="124"/>
      <c r="E44" s="124"/>
      <c r="F44" s="124"/>
      <c r="G44" s="124"/>
      <c r="H44" s="125"/>
      <c r="I44" s="125"/>
      <c r="J44" s="125"/>
      <c r="K44" s="125"/>
      <c r="L44" s="125"/>
      <c r="M44" s="125"/>
      <c r="N44" s="125"/>
      <c r="O44" s="125"/>
      <c r="P44" s="125"/>
      <c r="Q44" s="125"/>
      <c r="R44" s="125"/>
    </row>
    <row r="45" spans="2:18" s="62" customFormat="1" ht="5.0999999999999996" customHeight="1">
      <c r="B45" s="72"/>
      <c r="C45" s="71"/>
      <c r="D45" s="70"/>
      <c r="E45" s="70"/>
      <c r="F45" s="70"/>
      <c r="G45" s="70"/>
      <c r="H45" s="69"/>
      <c r="I45" s="69"/>
      <c r="J45" s="69"/>
      <c r="K45" s="69"/>
      <c r="L45" s="69"/>
      <c r="M45" s="69"/>
      <c r="N45" s="69"/>
      <c r="O45" s="69"/>
      <c r="P45" s="69"/>
      <c r="Q45" s="69"/>
      <c r="R45" s="69"/>
    </row>
    <row r="46" spans="2:18">
      <c r="B46" s="43" t="s">
        <v>79</v>
      </c>
      <c r="C46" s="43"/>
      <c r="D46" s="43"/>
      <c r="E46" s="43"/>
      <c r="F46" s="43"/>
      <c r="G46" s="43"/>
      <c r="H46" s="53"/>
      <c r="I46" s="53">
        <f t="shared" ref="I46:R46" si="13">H51</f>
        <v>10000000</v>
      </c>
      <c r="J46" s="53">
        <f t="shared" si="13"/>
        <v>10750000</v>
      </c>
      <c r="K46" s="53">
        <f t="shared" si="13"/>
        <v>11593750</v>
      </c>
      <c r="L46" s="53">
        <f t="shared" si="13"/>
        <v>12296939.212328767</v>
      </c>
      <c r="M46" s="53">
        <f t="shared" si="13"/>
        <v>13084056.613869863</v>
      </c>
      <c r="N46" s="53">
        <f t="shared" si="13"/>
        <v>13719563.690603595</v>
      </c>
      <c r="O46" s="53">
        <f t="shared" si="13"/>
        <v>0</v>
      </c>
      <c r="P46" s="53">
        <f t="shared" si="13"/>
        <v>0</v>
      </c>
      <c r="Q46" s="53">
        <f t="shared" si="13"/>
        <v>0</v>
      </c>
      <c r="R46" s="53">
        <f t="shared" si="13"/>
        <v>0</v>
      </c>
    </row>
    <row r="47" spans="2:18">
      <c r="B47" s="68" t="str">
        <f>B44&amp;" Return"</f>
        <v>Hurdle 2 Return</v>
      </c>
      <c r="C47" s="43"/>
      <c r="D47" s="43"/>
      <c r="E47" s="43"/>
      <c r="F47" s="43"/>
      <c r="G47" s="43"/>
      <c r="H47" s="53"/>
      <c r="I47" s="53">
        <f t="shared" ref="I47:R47" si="14">I46*($C44/365)*(I$21-H$21)</f>
        <v>1250000</v>
      </c>
      <c r="J47" s="53">
        <f t="shared" si="14"/>
        <v>1343750</v>
      </c>
      <c r="K47" s="53">
        <f t="shared" si="14"/>
        <v>1453189.2123287672</v>
      </c>
      <c r="L47" s="53">
        <f t="shared" si="14"/>
        <v>1537117.4015410959</v>
      </c>
      <c r="M47" s="53">
        <f t="shared" si="14"/>
        <v>1635507.0767337328</v>
      </c>
      <c r="N47" s="53">
        <f t="shared" si="14"/>
        <v>1714945.4613254494</v>
      </c>
      <c r="O47" s="53">
        <f t="shared" si="14"/>
        <v>0</v>
      </c>
      <c r="P47" s="53">
        <f t="shared" si="14"/>
        <v>0</v>
      </c>
      <c r="Q47" s="53">
        <f t="shared" si="14"/>
        <v>0</v>
      </c>
      <c r="R47" s="53">
        <f t="shared" si="14"/>
        <v>0</v>
      </c>
    </row>
    <row r="48" spans="2:18">
      <c r="B48" s="68" t="s">
        <v>78</v>
      </c>
      <c r="C48" s="43"/>
      <c r="D48" s="43"/>
      <c r="E48" s="43"/>
      <c r="F48" s="43"/>
      <c r="G48" s="43"/>
      <c r="H48" s="53"/>
      <c r="I48" s="53">
        <f t="shared" ref="I48:R48" si="15">-MIN(0,I$23*$H$6)</f>
        <v>0</v>
      </c>
      <c r="J48" s="53">
        <f t="shared" si="15"/>
        <v>0</v>
      </c>
      <c r="K48" s="53">
        <f t="shared" si="15"/>
        <v>0</v>
      </c>
      <c r="L48" s="53">
        <f t="shared" si="15"/>
        <v>0</v>
      </c>
      <c r="M48" s="53">
        <f t="shared" si="15"/>
        <v>0</v>
      </c>
      <c r="N48" s="53">
        <f t="shared" si="15"/>
        <v>0</v>
      </c>
      <c r="O48" s="53">
        <f t="shared" si="15"/>
        <v>0</v>
      </c>
      <c r="P48" s="53">
        <f t="shared" si="15"/>
        <v>0</v>
      </c>
      <c r="Q48" s="53">
        <f t="shared" si="15"/>
        <v>0</v>
      </c>
      <c r="R48" s="53">
        <f t="shared" si="15"/>
        <v>0</v>
      </c>
    </row>
    <row r="49" spans="2:20">
      <c r="B49" s="68" t="s">
        <v>77</v>
      </c>
      <c r="C49" s="43"/>
      <c r="D49" s="43"/>
      <c r="E49" s="43"/>
      <c r="F49" s="43"/>
      <c r="G49" s="43"/>
      <c r="H49" s="53"/>
      <c r="I49" s="53">
        <f t="shared" ref="I49:R49" si="16">I36</f>
        <v>500000</v>
      </c>
      <c r="J49" s="53">
        <f t="shared" si="16"/>
        <v>500000</v>
      </c>
      <c r="K49" s="53">
        <f t="shared" si="16"/>
        <v>750000</v>
      </c>
      <c r="L49" s="53">
        <f t="shared" si="16"/>
        <v>750000</v>
      </c>
      <c r="M49" s="53">
        <f t="shared" si="16"/>
        <v>1000000</v>
      </c>
      <c r="N49" s="53">
        <f t="shared" si="16"/>
        <v>11557184.010829151</v>
      </c>
      <c r="O49" s="53">
        <f t="shared" si="16"/>
        <v>0</v>
      </c>
      <c r="P49" s="53">
        <f t="shared" si="16"/>
        <v>0</v>
      </c>
      <c r="Q49" s="53">
        <f t="shared" si="16"/>
        <v>0</v>
      </c>
      <c r="R49" s="53">
        <f t="shared" si="16"/>
        <v>0</v>
      </c>
    </row>
    <row r="50" spans="2:20">
      <c r="B50" s="68" t="s">
        <v>76</v>
      </c>
      <c r="C50" s="43"/>
      <c r="D50" s="43"/>
      <c r="E50" s="43"/>
      <c r="F50" s="43"/>
      <c r="G50" s="43"/>
      <c r="H50" s="53"/>
      <c r="I50" s="53">
        <f t="shared" ref="I50:R50" si="17">MIN((I46+I47-I49),I40*$F$14)</f>
        <v>0</v>
      </c>
      <c r="J50" s="53">
        <f t="shared" si="17"/>
        <v>0</v>
      </c>
      <c r="K50" s="53">
        <f t="shared" si="17"/>
        <v>0</v>
      </c>
      <c r="L50" s="53">
        <f t="shared" si="17"/>
        <v>0</v>
      </c>
      <c r="M50" s="53">
        <f t="shared" si="17"/>
        <v>0</v>
      </c>
      <c r="N50" s="53">
        <f t="shared" si="17"/>
        <v>3877325.1410998944</v>
      </c>
      <c r="O50" s="53">
        <f t="shared" si="17"/>
        <v>0</v>
      </c>
      <c r="P50" s="53">
        <f t="shared" si="17"/>
        <v>0</v>
      </c>
      <c r="Q50" s="53">
        <f t="shared" si="17"/>
        <v>0</v>
      </c>
      <c r="R50" s="53">
        <f t="shared" si="17"/>
        <v>0</v>
      </c>
    </row>
    <row r="51" spans="2:20">
      <c r="B51" s="43" t="s">
        <v>75</v>
      </c>
      <c r="C51" s="43"/>
      <c r="D51" s="43"/>
      <c r="E51" s="43"/>
      <c r="F51" s="43"/>
      <c r="G51" s="43"/>
      <c r="H51" s="53">
        <f>$F$6</f>
        <v>10000000</v>
      </c>
      <c r="I51" s="53">
        <f t="shared" ref="I51:R51" si="18">I46+I47+I48-I49-I50</f>
        <v>10750000</v>
      </c>
      <c r="J51" s="53">
        <f t="shared" si="18"/>
        <v>11593750</v>
      </c>
      <c r="K51" s="53">
        <f t="shared" si="18"/>
        <v>12296939.212328767</v>
      </c>
      <c r="L51" s="53">
        <f t="shared" si="18"/>
        <v>13084056.613869863</v>
      </c>
      <c r="M51" s="53">
        <f t="shared" si="18"/>
        <v>13719563.690603595</v>
      </c>
      <c r="N51" s="53">
        <f t="shared" si="18"/>
        <v>0</v>
      </c>
      <c r="O51" s="53">
        <f t="shared" si="18"/>
        <v>0</v>
      </c>
      <c r="P51" s="53">
        <f t="shared" si="18"/>
        <v>0</v>
      </c>
      <c r="Q51" s="53">
        <f t="shared" si="18"/>
        <v>0</v>
      </c>
      <c r="R51" s="53">
        <f t="shared" si="18"/>
        <v>0</v>
      </c>
    </row>
    <row r="52" spans="2:20" s="62" customFormat="1" ht="5.0999999999999996" customHeight="1">
      <c r="B52" s="67"/>
      <c r="C52" s="67"/>
      <c r="D52" s="67"/>
      <c r="E52" s="67"/>
      <c r="F52" s="67"/>
      <c r="G52" s="67"/>
      <c r="H52" s="66"/>
      <c r="I52" s="66"/>
      <c r="J52" s="66"/>
      <c r="K52" s="66"/>
      <c r="L52" s="66"/>
      <c r="M52" s="66"/>
      <c r="N52" s="66"/>
      <c r="O52" s="66"/>
      <c r="P52" s="66"/>
      <c r="Q52" s="66"/>
      <c r="R52" s="66"/>
    </row>
    <row r="53" spans="2:20" s="62" customFormat="1" ht="15" customHeight="1">
      <c r="B53" s="55" t="s">
        <v>65</v>
      </c>
      <c r="C53" s="43"/>
      <c r="D53" s="43"/>
      <c r="E53" s="43"/>
      <c r="F53" s="43"/>
      <c r="G53" s="43"/>
      <c r="H53" s="53"/>
      <c r="I53" s="53"/>
      <c r="J53" s="53"/>
      <c r="K53" s="53"/>
      <c r="L53" s="53"/>
      <c r="M53" s="53"/>
      <c r="N53" s="53"/>
      <c r="O53" s="53"/>
      <c r="P53" s="53"/>
      <c r="Q53" s="53"/>
      <c r="R53" s="53"/>
    </row>
    <row r="54" spans="2:20">
      <c r="B54" s="43" t="s">
        <v>74</v>
      </c>
      <c r="C54" s="43"/>
      <c r="D54" s="43"/>
      <c r="E54" s="43"/>
      <c r="F54" s="43"/>
      <c r="G54" s="43"/>
      <c r="H54" s="53"/>
      <c r="I54" s="53">
        <f t="shared" ref="I54:R54" si="19">MIN(I46+I47-I49,I40*$F$14)</f>
        <v>0</v>
      </c>
      <c r="J54" s="53">
        <f t="shared" si="19"/>
        <v>0</v>
      </c>
      <c r="K54" s="53">
        <f t="shared" si="19"/>
        <v>0</v>
      </c>
      <c r="L54" s="53">
        <f t="shared" si="19"/>
        <v>0</v>
      </c>
      <c r="M54" s="53">
        <f t="shared" si="19"/>
        <v>0</v>
      </c>
      <c r="N54" s="53">
        <f t="shared" si="19"/>
        <v>3877325.1410998944</v>
      </c>
      <c r="O54" s="53">
        <f t="shared" si="19"/>
        <v>0</v>
      </c>
      <c r="P54" s="53">
        <f t="shared" si="19"/>
        <v>0</v>
      </c>
      <c r="Q54" s="53">
        <f t="shared" si="19"/>
        <v>0</v>
      </c>
      <c r="R54" s="53">
        <f t="shared" si="19"/>
        <v>0</v>
      </c>
    </row>
    <row r="55" spans="2:20">
      <c r="B55" s="43" t="s">
        <v>46</v>
      </c>
      <c r="C55" s="43"/>
      <c r="D55" s="43"/>
      <c r="E55" s="43"/>
      <c r="F55" s="43"/>
      <c r="G55" s="43"/>
      <c r="H55" s="53"/>
      <c r="I55" s="53">
        <f t="shared" ref="I55:R55" si="20">I54/$F$14*$H$14</f>
        <v>0</v>
      </c>
      <c r="J55" s="53">
        <f t="shared" si="20"/>
        <v>0</v>
      </c>
      <c r="K55" s="53">
        <f t="shared" si="20"/>
        <v>0</v>
      </c>
      <c r="L55" s="53">
        <f t="shared" si="20"/>
        <v>0</v>
      </c>
      <c r="M55" s="53">
        <f t="shared" si="20"/>
        <v>0</v>
      </c>
      <c r="N55" s="53">
        <f t="shared" si="20"/>
        <v>684233.84842939326</v>
      </c>
      <c r="O55" s="53">
        <f t="shared" si="20"/>
        <v>0</v>
      </c>
      <c r="P55" s="53">
        <f t="shared" si="20"/>
        <v>0</v>
      </c>
      <c r="Q55" s="53">
        <f t="shared" si="20"/>
        <v>0</v>
      </c>
      <c r="R55" s="53">
        <f t="shared" si="20"/>
        <v>0</v>
      </c>
    </row>
    <row r="56" spans="2:20">
      <c r="B56" s="51" t="s">
        <v>73</v>
      </c>
      <c r="C56" s="51"/>
      <c r="D56" s="51"/>
      <c r="E56" s="51"/>
      <c r="F56" s="51"/>
      <c r="G56" s="51"/>
      <c r="H56" s="63"/>
      <c r="I56" s="63">
        <f t="shared" ref="I56:R56" si="21">I54+I55</f>
        <v>0</v>
      </c>
      <c r="J56" s="63">
        <f t="shared" si="21"/>
        <v>0</v>
      </c>
      <c r="K56" s="63">
        <f t="shared" si="21"/>
        <v>0</v>
      </c>
      <c r="L56" s="63">
        <f t="shared" si="21"/>
        <v>0</v>
      </c>
      <c r="M56" s="63">
        <f t="shared" si="21"/>
        <v>0</v>
      </c>
      <c r="N56" s="63">
        <f t="shared" si="21"/>
        <v>4561558.9895292874</v>
      </c>
      <c r="O56" s="63">
        <f t="shared" si="21"/>
        <v>0</v>
      </c>
      <c r="P56" s="63">
        <f t="shared" si="21"/>
        <v>0</v>
      </c>
      <c r="Q56" s="63">
        <f t="shared" si="21"/>
        <v>0</v>
      </c>
      <c r="R56" s="63">
        <f t="shared" si="21"/>
        <v>0</v>
      </c>
    </row>
    <row r="57" spans="2:20" s="62" customFormat="1" ht="5.0999999999999996" customHeight="1">
      <c r="H57" s="61"/>
      <c r="I57" s="61"/>
      <c r="J57" s="61"/>
      <c r="K57" s="61"/>
      <c r="L57" s="61"/>
      <c r="M57" s="61"/>
      <c r="N57" s="61"/>
      <c r="O57" s="61"/>
      <c r="P57" s="61"/>
      <c r="Q57" s="61"/>
      <c r="R57" s="61"/>
    </row>
    <row r="58" spans="2:20" s="75" customFormat="1">
      <c r="B58" s="55" t="s">
        <v>72</v>
      </c>
      <c r="C58" s="55"/>
      <c r="D58" s="55"/>
      <c r="E58" s="55"/>
      <c r="F58" s="55"/>
      <c r="G58" s="55"/>
      <c r="H58" s="60"/>
      <c r="I58" s="60">
        <f t="shared" ref="I58:R58" si="22">MAX(I$23-I38-I56,0)</f>
        <v>0</v>
      </c>
      <c r="J58" s="60">
        <f t="shared" si="22"/>
        <v>0</v>
      </c>
      <c r="K58" s="60">
        <f t="shared" si="22"/>
        <v>0</v>
      </c>
      <c r="L58" s="60">
        <f t="shared" si="22"/>
        <v>0</v>
      </c>
      <c r="M58" s="60">
        <f t="shared" si="22"/>
        <v>0</v>
      </c>
      <c r="N58" s="60">
        <f t="shared" si="22"/>
        <v>8881256.9996415619</v>
      </c>
      <c r="O58" s="60">
        <f t="shared" si="22"/>
        <v>0</v>
      </c>
      <c r="P58" s="60">
        <f t="shared" si="22"/>
        <v>0</v>
      </c>
      <c r="Q58" s="60">
        <f t="shared" si="22"/>
        <v>0</v>
      </c>
      <c r="R58" s="60">
        <f t="shared" si="22"/>
        <v>0</v>
      </c>
    </row>
    <row r="59" spans="2:20" s="73" customFormat="1" ht="5.0999999999999996" customHeight="1">
      <c r="H59" s="74"/>
      <c r="I59" s="74"/>
      <c r="J59" s="74"/>
      <c r="K59" s="74"/>
      <c r="L59" s="74"/>
      <c r="M59" s="74"/>
      <c r="N59" s="74"/>
      <c r="O59" s="74"/>
      <c r="P59" s="74"/>
      <c r="Q59" s="74"/>
      <c r="R59" s="74"/>
    </row>
    <row r="60" spans="2:20" s="73" customFormat="1">
      <c r="B60" s="134" t="s">
        <v>71</v>
      </c>
      <c r="C60" s="135">
        <f>XIRR(H60:R60,$H$21:$R$21)</f>
        <v>0.1249964416027069</v>
      </c>
      <c r="D60" s="134"/>
      <c r="E60" s="134"/>
      <c r="F60" s="134"/>
      <c r="G60" s="134"/>
      <c r="H60" s="136">
        <f>-H51</f>
        <v>-10000000</v>
      </c>
      <c r="I60" s="136">
        <f t="shared" ref="I60:R60" si="23">SUM(I49:I50)</f>
        <v>500000</v>
      </c>
      <c r="J60" s="136">
        <f t="shared" si="23"/>
        <v>500000</v>
      </c>
      <c r="K60" s="136">
        <f t="shared" si="23"/>
        <v>750000</v>
      </c>
      <c r="L60" s="136">
        <f t="shared" si="23"/>
        <v>750000</v>
      </c>
      <c r="M60" s="136">
        <f t="shared" si="23"/>
        <v>1000000</v>
      </c>
      <c r="N60" s="136">
        <f t="shared" si="23"/>
        <v>15434509.151929045</v>
      </c>
      <c r="O60" s="136">
        <f t="shared" si="23"/>
        <v>0</v>
      </c>
      <c r="P60" s="136">
        <f t="shared" si="23"/>
        <v>0</v>
      </c>
      <c r="Q60" s="136">
        <f t="shared" si="23"/>
        <v>0</v>
      </c>
      <c r="R60" s="136">
        <f t="shared" si="23"/>
        <v>0</v>
      </c>
      <c r="T60" s="39"/>
    </row>
    <row r="61" spans="2:20" ht="5.0999999999999996" customHeight="1"/>
    <row r="62" spans="2:20">
      <c r="B62" s="122" t="s">
        <v>83</v>
      </c>
      <c r="C62" s="126">
        <f>D15</f>
        <v>0.15</v>
      </c>
      <c r="D62" s="124"/>
      <c r="E62" s="124"/>
      <c r="F62" s="124"/>
      <c r="G62" s="124"/>
      <c r="H62" s="125"/>
      <c r="I62" s="125"/>
      <c r="J62" s="125"/>
      <c r="K62" s="125"/>
      <c r="L62" s="125"/>
      <c r="M62" s="125"/>
      <c r="N62" s="125"/>
      <c r="O62" s="125"/>
      <c r="P62" s="125"/>
      <c r="Q62" s="125"/>
      <c r="R62" s="125"/>
    </row>
    <row r="63" spans="2:20" s="62" customFormat="1" ht="5.0999999999999996" customHeight="1">
      <c r="B63" s="72"/>
      <c r="C63" s="71"/>
      <c r="D63" s="70"/>
      <c r="E63" s="70"/>
      <c r="F63" s="70"/>
      <c r="G63" s="70"/>
      <c r="H63" s="69"/>
      <c r="I63" s="69"/>
      <c r="J63" s="69"/>
      <c r="K63" s="69"/>
      <c r="L63" s="69"/>
      <c r="M63" s="69"/>
      <c r="N63" s="69"/>
      <c r="O63" s="69"/>
      <c r="P63" s="69"/>
      <c r="Q63" s="69"/>
      <c r="R63" s="69"/>
    </row>
    <row r="64" spans="2:20">
      <c r="B64" s="43" t="s">
        <v>79</v>
      </c>
      <c r="C64" s="43"/>
      <c r="D64" s="43"/>
      <c r="E64" s="43"/>
      <c r="F64" s="43"/>
      <c r="G64" s="43"/>
      <c r="H64" s="53"/>
      <c r="I64" s="53">
        <f t="shared" ref="I64:R64" si="24">H69</f>
        <v>10000000</v>
      </c>
      <c r="J64" s="53">
        <f t="shared" si="24"/>
        <v>11000000</v>
      </c>
      <c r="K64" s="53">
        <f t="shared" si="24"/>
        <v>12150000</v>
      </c>
      <c r="L64" s="53">
        <f t="shared" si="24"/>
        <v>13227493.15068493</v>
      </c>
      <c r="M64" s="53">
        <f t="shared" si="24"/>
        <v>14461617.12328767</v>
      </c>
      <c r="N64" s="53">
        <f t="shared" si="24"/>
        <v>15630859.69178082</v>
      </c>
      <c r="O64" s="53">
        <f t="shared" si="24"/>
        <v>0</v>
      </c>
      <c r="P64" s="53">
        <f t="shared" si="24"/>
        <v>0</v>
      </c>
      <c r="Q64" s="53">
        <f t="shared" si="24"/>
        <v>0</v>
      </c>
      <c r="R64" s="53">
        <f t="shared" si="24"/>
        <v>0</v>
      </c>
    </row>
    <row r="65" spans="2:18">
      <c r="B65" s="68" t="str">
        <f>B62&amp;" Return"</f>
        <v>Hurdle 3 Return</v>
      </c>
      <c r="C65" s="43"/>
      <c r="D65" s="43"/>
      <c r="E65" s="43"/>
      <c r="F65" s="43"/>
      <c r="G65" s="43"/>
      <c r="H65" s="53"/>
      <c r="I65" s="53">
        <f t="shared" ref="I65:R65" si="25">I64*($C62/365)*(I$21-H$21)</f>
        <v>1499999.9999999998</v>
      </c>
      <c r="J65" s="53">
        <f t="shared" si="25"/>
        <v>1649999.9999999998</v>
      </c>
      <c r="K65" s="53">
        <f t="shared" si="25"/>
        <v>1827493.1506849313</v>
      </c>
      <c r="L65" s="53">
        <f t="shared" si="25"/>
        <v>1984123.9726027392</v>
      </c>
      <c r="M65" s="53">
        <f t="shared" si="25"/>
        <v>2169242.5684931502</v>
      </c>
      <c r="N65" s="53">
        <f t="shared" si="25"/>
        <v>2344628.9537671232</v>
      </c>
      <c r="O65" s="53">
        <f t="shared" si="25"/>
        <v>0</v>
      </c>
      <c r="P65" s="53">
        <f t="shared" si="25"/>
        <v>0</v>
      </c>
      <c r="Q65" s="53">
        <f t="shared" si="25"/>
        <v>0</v>
      </c>
      <c r="R65" s="53">
        <f t="shared" si="25"/>
        <v>0</v>
      </c>
    </row>
    <row r="66" spans="2:18">
      <c r="B66" s="68" t="s">
        <v>78</v>
      </c>
      <c r="C66" s="43"/>
      <c r="D66" s="43"/>
      <c r="E66" s="43"/>
      <c r="F66" s="43"/>
      <c r="G66" s="43"/>
      <c r="H66" s="53"/>
      <c r="I66" s="53">
        <f t="shared" ref="I66:R66" si="26">-MIN(0,I$23*$H$6)</f>
        <v>0</v>
      </c>
      <c r="J66" s="53">
        <f t="shared" si="26"/>
        <v>0</v>
      </c>
      <c r="K66" s="53">
        <f t="shared" si="26"/>
        <v>0</v>
      </c>
      <c r="L66" s="53">
        <f t="shared" si="26"/>
        <v>0</v>
      </c>
      <c r="M66" s="53">
        <f t="shared" si="26"/>
        <v>0</v>
      </c>
      <c r="N66" s="53">
        <f t="shared" si="26"/>
        <v>0</v>
      </c>
      <c r="O66" s="53">
        <f t="shared" si="26"/>
        <v>0</v>
      </c>
      <c r="P66" s="53">
        <f t="shared" si="26"/>
        <v>0</v>
      </c>
      <c r="Q66" s="53">
        <f t="shared" si="26"/>
        <v>0</v>
      </c>
      <c r="R66" s="53">
        <f t="shared" si="26"/>
        <v>0</v>
      </c>
    </row>
    <row r="67" spans="2:18">
      <c r="B67" s="68" t="s">
        <v>77</v>
      </c>
      <c r="C67" s="43"/>
      <c r="D67" s="43"/>
      <c r="E67" s="43"/>
      <c r="F67" s="43"/>
      <c r="G67" s="43"/>
      <c r="H67" s="53"/>
      <c r="I67" s="53">
        <f t="shared" ref="I67:R67" si="27">I54+I36</f>
        <v>500000</v>
      </c>
      <c r="J67" s="53">
        <f t="shared" si="27"/>
        <v>500000</v>
      </c>
      <c r="K67" s="53">
        <f t="shared" si="27"/>
        <v>750000</v>
      </c>
      <c r="L67" s="53">
        <f t="shared" si="27"/>
        <v>750000</v>
      </c>
      <c r="M67" s="53">
        <f t="shared" si="27"/>
        <v>1000000</v>
      </c>
      <c r="N67" s="53">
        <f t="shared" si="27"/>
        <v>15434509.151929045</v>
      </c>
      <c r="O67" s="53">
        <f t="shared" si="27"/>
        <v>0</v>
      </c>
      <c r="P67" s="53">
        <f t="shared" si="27"/>
        <v>0</v>
      </c>
      <c r="Q67" s="53">
        <f t="shared" si="27"/>
        <v>0</v>
      </c>
      <c r="R67" s="53">
        <f t="shared" si="27"/>
        <v>0</v>
      </c>
    </row>
    <row r="68" spans="2:18">
      <c r="B68" s="68" t="s">
        <v>76</v>
      </c>
      <c r="C68" s="43"/>
      <c r="D68" s="43"/>
      <c r="E68" s="43"/>
      <c r="F68" s="43"/>
      <c r="G68" s="43"/>
      <c r="H68" s="53"/>
      <c r="I68" s="53">
        <f t="shared" ref="I68:R68" si="28">MIN((I64+I65-I67),I58*$F$15)</f>
        <v>0</v>
      </c>
      <c r="J68" s="53">
        <f t="shared" si="28"/>
        <v>0</v>
      </c>
      <c r="K68" s="53">
        <f t="shared" si="28"/>
        <v>0</v>
      </c>
      <c r="L68" s="53">
        <f t="shared" si="28"/>
        <v>0</v>
      </c>
      <c r="M68" s="53">
        <f t="shared" si="28"/>
        <v>0</v>
      </c>
      <c r="N68" s="53">
        <f t="shared" si="28"/>
        <v>2540979.4936189</v>
      </c>
      <c r="O68" s="53">
        <f t="shared" si="28"/>
        <v>0</v>
      </c>
      <c r="P68" s="53">
        <f t="shared" si="28"/>
        <v>0</v>
      </c>
      <c r="Q68" s="53">
        <f t="shared" si="28"/>
        <v>0</v>
      </c>
      <c r="R68" s="53">
        <f t="shared" si="28"/>
        <v>0</v>
      </c>
    </row>
    <row r="69" spans="2:18">
      <c r="B69" s="43" t="s">
        <v>75</v>
      </c>
      <c r="C69" s="43"/>
      <c r="D69" s="43"/>
      <c r="E69" s="43"/>
      <c r="F69" s="43"/>
      <c r="G69" s="43"/>
      <c r="H69" s="53">
        <f>$F$6</f>
        <v>10000000</v>
      </c>
      <c r="I69" s="53">
        <f t="shared" ref="I69:R69" si="29">I64+I65+I66-I67-I68</f>
        <v>11000000</v>
      </c>
      <c r="J69" s="53">
        <f t="shared" si="29"/>
        <v>12150000</v>
      </c>
      <c r="K69" s="53">
        <f t="shared" si="29"/>
        <v>13227493.15068493</v>
      </c>
      <c r="L69" s="53">
        <f t="shared" si="29"/>
        <v>14461617.12328767</v>
      </c>
      <c r="M69" s="53">
        <f t="shared" si="29"/>
        <v>15630859.69178082</v>
      </c>
      <c r="N69" s="53">
        <f t="shared" si="29"/>
        <v>0</v>
      </c>
      <c r="O69" s="53">
        <f t="shared" si="29"/>
        <v>0</v>
      </c>
      <c r="P69" s="53">
        <f t="shared" si="29"/>
        <v>0</v>
      </c>
      <c r="Q69" s="53">
        <f t="shared" si="29"/>
        <v>0</v>
      </c>
      <c r="R69" s="53">
        <f t="shared" si="29"/>
        <v>0</v>
      </c>
    </row>
    <row r="70" spans="2:18" s="62" customFormat="1" ht="5.0999999999999996" customHeight="1">
      <c r="B70" s="67"/>
      <c r="C70" s="67"/>
      <c r="D70" s="67"/>
      <c r="E70" s="67"/>
      <c r="F70" s="67"/>
      <c r="G70" s="67"/>
      <c r="H70" s="66"/>
      <c r="I70" s="66"/>
      <c r="J70" s="66"/>
      <c r="K70" s="66"/>
      <c r="L70" s="66"/>
      <c r="M70" s="66"/>
      <c r="N70" s="66"/>
      <c r="O70" s="66"/>
      <c r="P70" s="66"/>
      <c r="Q70" s="66"/>
      <c r="R70" s="66"/>
    </row>
    <row r="71" spans="2:18" s="62" customFormat="1" ht="15" customHeight="1">
      <c r="B71" s="55" t="s">
        <v>65</v>
      </c>
      <c r="C71" s="65"/>
      <c r="D71" s="65"/>
      <c r="E71" s="65"/>
      <c r="F71" s="65"/>
      <c r="G71" s="65"/>
      <c r="H71" s="64"/>
      <c r="I71" s="64"/>
      <c r="J71" s="64"/>
      <c r="K71" s="64"/>
      <c r="L71" s="64"/>
      <c r="M71" s="64"/>
      <c r="N71" s="64"/>
      <c r="O71" s="64"/>
      <c r="P71" s="64"/>
      <c r="Q71" s="64"/>
      <c r="R71" s="64"/>
    </row>
    <row r="72" spans="2:18">
      <c r="B72" s="43" t="s">
        <v>74</v>
      </c>
      <c r="C72" s="43"/>
      <c r="D72" s="43"/>
      <c r="E72" s="43"/>
      <c r="F72" s="43"/>
      <c r="G72" s="43"/>
      <c r="H72" s="53"/>
      <c r="I72" s="53">
        <f t="shared" ref="I72:R72" si="30">I68</f>
        <v>0</v>
      </c>
      <c r="J72" s="53">
        <f t="shared" si="30"/>
        <v>0</v>
      </c>
      <c r="K72" s="53">
        <f t="shared" si="30"/>
        <v>0</v>
      </c>
      <c r="L72" s="53">
        <f t="shared" si="30"/>
        <v>0</v>
      </c>
      <c r="M72" s="53">
        <f t="shared" si="30"/>
        <v>0</v>
      </c>
      <c r="N72" s="53">
        <f t="shared" si="30"/>
        <v>2540979.4936189</v>
      </c>
      <c r="O72" s="53">
        <f t="shared" si="30"/>
        <v>0</v>
      </c>
      <c r="P72" s="53">
        <f t="shared" si="30"/>
        <v>0</v>
      </c>
      <c r="Q72" s="53">
        <f t="shared" si="30"/>
        <v>0</v>
      </c>
      <c r="R72" s="53">
        <f t="shared" si="30"/>
        <v>0</v>
      </c>
    </row>
    <row r="73" spans="2:18">
      <c r="B73" s="43" t="s">
        <v>46</v>
      </c>
      <c r="C73" s="43"/>
      <c r="D73" s="43"/>
      <c r="E73" s="43"/>
      <c r="F73" s="43"/>
      <c r="G73" s="43"/>
      <c r="H73" s="53"/>
      <c r="I73" s="53">
        <f t="shared" ref="I73:R73" si="31">I72/$F15*$H15</f>
        <v>0</v>
      </c>
      <c r="J73" s="53">
        <f t="shared" si="31"/>
        <v>0</v>
      </c>
      <c r="K73" s="53">
        <f t="shared" si="31"/>
        <v>0</v>
      </c>
      <c r="L73" s="53">
        <f t="shared" si="31"/>
        <v>0</v>
      </c>
      <c r="M73" s="53">
        <f t="shared" si="31"/>
        <v>0</v>
      </c>
      <c r="N73" s="53">
        <f t="shared" si="31"/>
        <v>846993.16453963332</v>
      </c>
      <c r="O73" s="53">
        <f t="shared" si="31"/>
        <v>0</v>
      </c>
      <c r="P73" s="53">
        <f t="shared" si="31"/>
        <v>0</v>
      </c>
      <c r="Q73" s="53">
        <f t="shared" si="31"/>
        <v>0</v>
      </c>
      <c r="R73" s="53">
        <f t="shared" si="31"/>
        <v>0</v>
      </c>
    </row>
    <row r="74" spans="2:18">
      <c r="B74" s="51" t="s">
        <v>73</v>
      </c>
      <c r="C74" s="51"/>
      <c r="D74" s="51"/>
      <c r="E74" s="51"/>
      <c r="F74" s="51"/>
      <c r="G74" s="51"/>
      <c r="H74" s="63"/>
      <c r="I74" s="63">
        <f t="shared" ref="I74:R74" si="32">I72+I73</f>
        <v>0</v>
      </c>
      <c r="J74" s="63">
        <f t="shared" si="32"/>
        <v>0</v>
      </c>
      <c r="K74" s="63">
        <f t="shared" si="32"/>
        <v>0</v>
      </c>
      <c r="L74" s="63">
        <f t="shared" si="32"/>
        <v>0</v>
      </c>
      <c r="M74" s="63">
        <f t="shared" si="32"/>
        <v>0</v>
      </c>
      <c r="N74" s="63">
        <f t="shared" si="32"/>
        <v>3387972.6581585333</v>
      </c>
      <c r="O74" s="63">
        <f t="shared" si="32"/>
        <v>0</v>
      </c>
      <c r="P74" s="63">
        <f t="shared" si="32"/>
        <v>0</v>
      </c>
      <c r="Q74" s="63">
        <f t="shared" si="32"/>
        <v>0</v>
      </c>
      <c r="R74" s="63">
        <f t="shared" si="32"/>
        <v>0</v>
      </c>
    </row>
    <row r="75" spans="2:18" s="62" customFormat="1" ht="5.0999999999999996" customHeight="1">
      <c r="H75" s="61"/>
      <c r="I75" s="61"/>
      <c r="J75" s="61"/>
      <c r="K75" s="61"/>
      <c r="L75" s="61"/>
      <c r="M75" s="61"/>
      <c r="N75" s="61"/>
      <c r="O75" s="61"/>
      <c r="P75" s="61"/>
      <c r="Q75" s="61"/>
      <c r="R75" s="61"/>
    </row>
    <row r="76" spans="2:18">
      <c r="B76" s="55" t="s">
        <v>72</v>
      </c>
      <c r="C76" s="55"/>
      <c r="D76" s="55"/>
      <c r="E76" s="55"/>
      <c r="F76" s="55"/>
      <c r="G76" s="55"/>
      <c r="H76" s="60"/>
      <c r="I76" s="60">
        <f t="shared" ref="I76:R76" si="33">MAX(I$23-I38-I56-I74,0)</f>
        <v>0</v>
      </c>
      <c r="J76" s="60">
        <f t="shared" si="33"/>
        <v>0</v>
      </c>
      <c r="K76" s="60">
        <f t="shared" si="33"/>
        <v>0</v>
      </c>
      <c r="L76" s="60">
        <f t="shared" si="33"/>
        <v>0</v>
      </c>
      <c r="M76" s="60">
        <f t="shared" si="33"/>
        <v>0</v>
      </c>
      <c r="N76" s="60">
        <f t="shared" si="33"/>
        <v>5493284.3414830286</v>
      </c>
      <c r="O76" s="60">
        <f t="shared" si="33"/>
        <v>0</v>
      </c>
      <c r="P76" s="60">
        <f t="shared" si="33"/>
        <v>0</v>
      </c>
      <c r="Q76" s="60">
        <f t="shared" si="33"/>
        <v>0</v>
      </c>
      <c r="R76" s="60">
        <f t="shared" si="33"/>
        <v>0</v>
      </c>
    </row>
    <row r="77" spans="2:18" ht="5.0999999999999996" customHeight="1"/>
    <row r="78" spans="2:18">
      <c r="B78" s="134" t="s">
        <v>71</v>
      </c>
      <c r="C78" s="135">
        <f>XIRR(H78:R78,$H$21:$R$21)</f>
        <v>0.1499949395656586</v>
      </c>
      <c r="D78" s="134"/>
      <c r="E78" s="134"/>
      <c r="F78" s="134"/>
      <c r="G78" s="134"/>
      <c r="H78" s="136">
        <f>-H69</f>
        <v>-10000000</v>
      </c>
      <c r="I78" s="136">
        <f t="shared" ref="I78:R78" si="34">SUM(I67:I68)</f>
        <v>500000</v>
      </c>
      <c r="J78" s="136">
        <f t="shared" si="34"/>
        <v>500000</v>
      </c>
      <c r="K78" s="136">
        <f t="shared" si="34"/>
        <v>750000</v>
      </c>
      <c r="L78" s="136">
        <f t="shared" si="34"/>
        <v>750000</v>
      </c>
      <c r="M78" s="136">
        <f t="shared" si="34"/>
        <v>1000000</v>
      </c>
      <c r="N78" s="136">
        <f t="shared" si="34"/>
        <v>17975488.645547945</v>
      </c>
      <c r="O78" s="136">
        <f t="shared" si="34"/>
        <v>0</v>
      </c>
      <c r="P78" s="136">
        <f t="shared" si="34"/>
        <v>0</v>
      </c>
      <c r="Q78" s="136">
        <f t="shared" si="34"/>
        <v>0</v>
      </c>
      <c r="R78" s="136">
        <f t="shared" si="34"/>
        <v>0</v>
      </c>
    </row>
    <row r="79" spans="2:18" ht="5.0999999999999996" customHeight="1"/>
    <row r="80" spans="2:18">
      <c r="B80" s="122" t="s">
        <v>82</v>
      </c>
      <c r="C80" s="126">
        <f>D16</f>
        <v>0.17499999999999999</v>
      </c>
      <c r="D80" s="124"/>
      <c r="E80" s="124"/>
      <c r="F80" s="124"/>
      <c r="G80" s="124"/>
      <c r="H80" s="125"/>
      <c r="I80" s="125"/>
      <c r="J80" s="125"/>
      <c r="K80" s="125"/>
      <c r="L80" s="125"/>
      <c r="M80" s="125"/>
      <c r="N80" s="125"/>
      <c r="O80" s="125"/>
      <c r="P80" s="125"/>
      <c r="Q80" s="125"/>
      <c r="R80" s="125"/>
    </row>
    <row r="81" spans="2:20" ht="5.0999999999999996" customHeight="1">
      <c r="B81" s="72"/>
      <c r="C81" s="71"/>
      <c r="D81" s="70"/>
      <c r="E81" s="70"/>
      <c r="F81" s="70"/>
      <c r="G81" s="70"/>
      <c r="H81" s="69"/>
      <c r="I81" s="69"/>
      <c r="J81" s="69"/>
      <c r="K81" s="69"/>
      <c r="L81" s="69"/>
      <c r="M81" s="69"/>
      <c r="N81" s="69"/>
      <c r="O81" s="69"/>
      <c r="P81" s="69"/>
      <c r="Q81" s="69"/>
      <c r="R81" s="69"/>
    </row>
    <row r="82" spans="2:20">
      <c r="B82" s="43" t="s">
        <v>79</v>
      </c>
      <c r="C82" s="43"/>
      <c r="D82" s="43"/>
      <c r="E82" s="43"/>
      <c r="F82" s="43"/>
      <c r="G82" s="43"/>
      <c r="H82" s="53"/>
      <c r="I82" s="53">
        <f t="shared" ref="I82:R82" si="35">H87</f>
        <v>10000000</v>
      </c>
      <c r="J82" s="53">
        <f t="shared" si="35"/>
        <v>11250000</v>
      </c>
      <c r="K82" s="53">
        <f t="shared" si="35"/>
        <v>12718750</v>
      </c>
      <c r="L82" s="53">
        <f t="shared" si="35"/>
        <v>14200629.280821918</v>
      </c>
      <c r="M82" s="53">
        <f t="shared" si="35"/>
        <v>15935739.404965753</v>
      </c>
      <c r="N82" s="53">
        <f t="shared" si="35"/>
        <v>17724493.80083476</v>
      </c>
      <c r="O82" s="53">
        <f t="shared" si="35"/>
        <v>0</v>
      </c>
      <c r="P82" s="53">
        <f t="shared" si="35"/>
        <v>0</v>
      </c>
      <c r="Q82" s="53">
        <f t="shared" si="35"/>
        <v>0</v>
      </c>
      <c r="R82" s="53">
        <f t="shared" si="35"/>
        <v>0</v>
      </c>
    </row>
    <row r="83" spans="2:20">
      <c r="B83" s="68" t="str">
        <f>B80&amp;" Return"</f>
        <v>Hurdle 4 Return</v>
      </c>
      <c r="C83" s="43"/>
      <c r="D83" s="43"/>
      <c r="E83" s="43"/>
      <c r="F83" s="43"/>
      <c r="G83" s="43"/>
      <c r="H83" s="53"/>
      <c r="I83" s="53">
        <f t="shared" ref="I83:R83" si="36">I82*($C80/365)*(I$21-H$21)</f>
        <v>1750000</v>
      </c>
      <c r="J83" s="53">
        <f t="shared" si="36"/>
        <v>1968749.9999999998</v>
      </c>
      <c r="K83" s="53">
        <f t="shared" si="36"/>
        <v>2231879.2808219176</v>
      </c>
      <c r="L83" s="53">
        <f t="shared" si="36"/>
        <v>2485110.1241438356</v>
      </c>
      <c r="M83" s="53">
        <f t="shared" si="36"/>
        <v>2788754.3958690069</v>
      </c>
      <c r="N83" s="53">
        <f t="shared" si="36"/>
        <v>3101786.4151460831</v>
      </c>
      <c r="O83" s="53">
        <f t="shared" si="36"/>
        <v>0</v>
      </c>
      <c r="P83" s="53">
        <f t="shared" si="36"/>
        <v>0</v>
      </c>
      <c r="Q83" s="53">
        <f t="shared" si="36"/>
        <v>0</v>
      </c>
      <c r="R83" s="53">
        <f t="shared" si="36"/>
        <v>0</v>
      </c>
    </row>
    <row r="84" spans="2:20">
      <c r="B84" s="68" t="s">
        <v>78</v>
      </c>
      <c r="C84" s="43"/>
      <c r="D84" s="43"/>
      <c r="E84" s="43"/>
      <c r="F84" s="43"/>
      <c r="G84" s="43"/>
      <c r="H84" s="53"/>
      <c r="I84" s="53">
        <f t="shared" ref="I84:R84" si="37">-MIN(0,I$23*$H$6)</f>
        <v>0</v>
      </c>
      <c r="J84" s="53">
        <f t="shared" si="37"/>
        <v>0</v>
      </c>
      <c r="K84" s="53">
        <f t="shared" si="37"/>
        <v>0</v>
      </c>
      <c r="L84" s="53">
        <f t="shared" si="37"/>
        <v>0</v>
      </c>
      <c r="M84" s="53">
        <f t="shared" si="37"/>
        <v>0</v>
      </c>
      <c r="N84" s="53">
        <f t="shared" si="37"/>
        <v>0</v>
      </c>
      <c r="O84" s="53">
        <f t="shared" si="37"/>
        <v>0</v>
      </c>
      <c r="P84" s="53">
        <f t="shared" si="37"/>
        <v>0</v>
      </c>
      <c r="Q84" s="53">
        <f t="shared" si="37"/>
        <v>0</v>
      </c>
      <c r="R84" s="53">
        <f t="shared" si="37"/>
        <v>0</v>
      </c>
    </row>
    <row r="85" spans="2:20">
      <c r="B85" s="68" t="s">
        <v>77</v>
      </c>
      <c r="C85" s="43"/>
      <c r="D85" s="43"/>
      <c r="E85" s="43"/>
      <c r="F85" s="43"/>
      <c r="G85" s="43"/>
      <c r="H85" s="53"/>
      <c r="I85" s="53">
        <f t="shared" ref="I85:R85" si="38">+I36+I54+I72</f>
        <v>500000</v>
      </c>
      <c r="J85" s="53">
        <f t="shared" si="38"/>
        <v>500000</v>
      </c>
      <c r="K85" s="53">
        <f t="shared" si="38"/>
        <v>750000</v>
      </c>
      <c r="L85" s="53">
        <f t="shared" si="38"/>
        <v>750000</v>
      </c>
      <c r="M85" s="53">
        <f t="shared" si="38"/>
        <v>1000000</v>
      </c>
      <c r="N85" s="53">
        <f t="shared" si="38"/>
        <v>17975488.645547945</v>
      </c>
      <c r="O85" s="53">
        <f t="shared" si="38"/>
        <v>0</v>
      </c>
      <c r="P85" s="53">
        <f t="shared" si="38"/>
        <v>0</v>
      </c>
      <c r="Q85" s="53">
        <f t="shared" si="38"/>
        <v>0</v>
      </c>
      <c r="R85" s="53">
        <f t="shared" si="38"/>
        <v>0</v>
      </c>
    </row>
    <row r="86" spans="2:20">
      <c r="B86" s="68" t="s">
        <v>76</v>
      </c>
      <c r="C86" s="43"/>
      <c r="D86" s="43"/>
      <c r="E86" s="43"/>
      <c r="F86" s="43"/>
      <c r="G86" s="43"/>
      <c r="H86" s="53"/>
      <c r="I86" s="53">
        <f t="shared" ref="I86:R86" si="39">MIN((I82+I83-I85),I76*$F$16)</f>
        <v>0</v>
      </c>
      <c r="J86" s="53">
        <f t="shared" si="39"/>
        <v>0</v>
      </c>
      <c r="K86" s="53">
        <f t="shared" si="39"/>
        <v>0</v>
      </c>
      <c r="L86" s="53">
        <f t="shared" si="39"/>
        <v>0</v>
      </c>
      <c r="M86" s="53">
        <f t="shared" si="39"/>
        <v>0</v>
      </c>
      <c r="N86" s="53">
        <f t="shared" si="39"/>
        <v>2850791.5704328977</v>
      </c>
      <c r="O86" s="53">
        <f t="shared" si="39"/>
        <v>0</v>
      </c>
      <c r="P86" s="53">
        <f t="shared" si="39"/>
        <v>0</v>
      </c>
      <c r="Q86" s="53">
        <f t="shared" si="39"/>
        <v>0</v>
      </c>
      <c r="R86" s="53">
        <f t="shared" si="39"/>
        <v>0</v>
      </c>
    </row>
    <row r="87" spans="2:20">
      <c r="B87" s="43" t="s">
        <v>75</v>
      </c>
      <c r="C87" s="43"/>
      <c r="D87" s="43"/>
      <c r="E87" s="43"/>
      <c r="F87" s="43"/>
      <c r="G87" s="43"/>
      <c r="H87" s="53">
        <f>$F$6</f>
        <v>10000000</v>
      </c>
      <c r="I87" s="53">
        <f t="shared" ref="I87:R87" si="40">I82+I83+I84-I85-I86</f>
        <v>11250000</v>
      </c>
      <c r="J87" s="53">
        <f t="shared" si="40"/>
        <v>12718750</v>
      </c>
      <c r="K87" s="53">
        <f t="shared" si="40"/>
        <v>14200629.280821918</v>
      </c>
      <c r="L87" s="53">
        <f t="shared" si="40"/>
        <v>15935739.404965753</v>
      </c>
      <c r="M87" s="53">
        <f t="shared" si="40"/>
        <v>17724493.80083476</v>
      </c>
      <c r="N87" s="53">
        <f t="shared" si="40"/>
        <v>0</v>
      </c>
      <c r="O87" s="53">
        <f t="shared" si="40"/>
        <v>0</v>
      </c>
      <c r="P87" s="53">
        <f t="shared" si="40"/>
        <v>0</v>
      </c>
      <c r="Q87" s="53">
        <f t="shared" si="40"/>
        <v>0</v>
      </c>
      <c r="R87" s="53">
        <f t="shared" si="40"/>
        <v>0</v>
      </c>
    </row>
    <row r="88" spans="2:20" ht="5.0999999999999996" customHeight="1">
      <c r="B88" s="67"/>
      <c r="C88" s="67"/>
      <c r="D88" s="67"/>
      <c r="E88" s="67"/>
      <c r="F88" s="67"/>
      <c r="G88" s="67"/>
      <c r="H88" s="66"/>
      <c r="I88" s="66"/>
      <c r="J88" s="66"/>
      <c r="K88" s="66"/>
      <c r="L88" s="66"/>
      <c r="M88" s="66"/>
      <c r="N88" s="66"/>
      <c r="O88" s="66"/>
      <c r="P88" s="66"/>
      <c r="Q88" s="66"/>
      <c r="R88" s="66"/>
    </row>
    <row r="89" spans="2:20">
      <c r="B89" s="55" t="s">
        <v>65</v>
      </c>
      <c r="C89" s="65"/>
      <c r="D89" s="65"/>
      <c r="E89" s="65"/>
      <c r="F89" s="65"/>
      <c r="G89" s="65"/>
      <c r="H89" s="64"/>
      <c r="I89" s="64"/>
      <c r="J89" s="64"/>
      <c r="K89" s="64"/>
      <c r="L89" s="64"/>
      <c r="M89" s="64"/>
      <c r="N89" s="64"/>
      <c r="O89" s="64"/>
      <c r="P89" s="64"/>
      <c r="Q89" s="64"/>
      <c r="R89" s="64"/>
    </row>
    <row r="90" spans="2:20">
      <c r="B90" s="43" t="s">
        <v>74</v>
      </c>
      <c r="C90" s="43"/>
      <c r="D90" s="43"/>
      <c r="E90" s="43"/>
      <c r="F90" s="43"/>
      <c r="G90" s="43"/>
      <c r="H90" s="53"/>
      <c r="I90" s="53">
        <f t="shared" ref="I90:R90" si="41">I86</f>
        <v>0</v>
      </c>
      <c r="J90" s="53">
        <f t="shared" si="41"/>
        <v>0</v>
      </c>
      <c r="K90" s="53">
        <f t="shared" si="41"/>
        <v>0</v>
      </c>
      <c r="L90" s="53">
        <f t="shared" si="41"/>
        <v>0</v>
      </c>
      <c r="M90" s="53">
        <f t="shared" si="41"/>
        <v>0</v>
      </c>
      <c r="N90" s="53">
        <f t="shared" si="41"/>
        <v>2850791.5704328977</v>
      </c>
      <c r="O90" s="53">
        <f t="shared" si="41"/>
        <v>0</v>
      </c>
      <c r="P90" s="53">
        <f t="shared" si="41"/>
        <v>0</v>
      </c>
      <c r="Q90" s="53">
        <f t="shared" si="41"/>
        <v>0</v>
      </c>
      <c r="R90" s="53">
        <f t="shared" si="41"/>
        <v>0</v>
      </c>
    </row>
    <row r="91" spans="2:20">
      <c r="B91" s="43" t="s">
        <v>46</v>
      </c>
      <c r="C91" s="43"/>
      <c r="D91" s="43"/>
      <c r="E91" s="43"/>
      <c r="F91" s="43"/>
      <c r="G91" s="43"/>
      <c r="H91" s="53"/>
      <c r="I91" s="53">
        <f t="shared" ref="I91:R91" si="42">I90/$F16*$H16</f>
        <v>0</v>
      </c>
      <c r="J91" s="53">
        <f t="shared" si="42"/>
        <v>0</v>
      </c>
      <c r="K91" s="53">
        <f t="shared" si="42"/>
        <v>0</v>
      </c>
      <c r="L91" s="53">
        <f t="shared" si="42"/>
        <v>0</v>
      </c>
      <c r="M91" s="53">
        <f t="shared" si="42"/>
        <v>0</v>
      </c>
      <c r="N91" s="53">
        <f t="shared" si="42"/>
        <v>1900527.7136219321</v>
      </c>
      <c r="O91" s="53">
        <f t="shared" si="42"/>
        <v>0</v>
      </c>
      <c r="P91" s="53">
        <f t="shared" si="42"/>
        <v>0</v>
      </c>
      <c r="Q91" s="53">
        <f t="shared" si="42"/>
        <v>0</v>
      </c>
      <c r="R91" s="53">
        <f t="shared" si="42"/>
        <v>0</v>
      </c>
    </row>
    <row r="92" spans="2:20">
      <c r="B92" s="51" t="s">
        <v>73</v>
      </c>
      <c r="C92" s="51"/>
      <c r="D92" s="51"/>
      <c r="E92" s="51"/>
      <c r="F92" s="51"/>
      <c r="G92" s="51"/>
      <c r="H92" s="63"/>
      <c r="I92" s="63">
        <f t="shared" ref="I92:R92" si="43">I90+I91</f>
        <v>0</v>
      </c>
      <c r="J92" s="63">
        <f t="shared" si="43"/>
        <v>0</v>
      </c>
      <c r="K92" s="63">
        <f t="shared" si="43"/>
        <v>0</v>
      </c>
      <c r="L92" s="63">
        <f t="shared" si="43"/>
        <v>0</v>
      </c>
      <c r="M92" s="63">
        <f t="shared" si="43"/>
        <v>0</v>
      </c>
      <c r="N92" s="63">
        <f t="shared" si="43"/>
        <v>4751319.2840548297</v>
      </c>
      <c r="O92" s="63">
        <f t="shared" si="43"/>
        <v>0</v>
      </c>
      <c r="P92" s="63">
        <f t="shared" si="43"/>
        <v>0</v>
      </c>
      <c r="Q92" s="63">
        <f t="shared" si="43"/>
        <v>0</v>
      </c>
      <c r="R92" s="63">
        <f t="shared" si="43"/>
        <v>0</v>
      </c>
    </row>
    <row r="93" spans="2:20" ht="5.0999999999999996" customHeight="1">
      <c r="B93" s="62"/>
      <c r="C93" s="62"/>
      <c r="D93" s="62"/>
      <c r="E93" s="62"/>
      <c r="F93" s="62"/>
      <c r="G93" s="62"/>
      <c r="H93" s="61"/>
      <c r="I93" s="61"/>
      <c r="J93" s="61"/>
      <c r="K93" s="61"/>
      <c r="L93" s="61"/>
      <c r="M93" s="61"/>
      <c r="N93" s="61"/>
      <c r="O93" s="61"/>
      <c r="P93" s="61"/>
      <c r="Q93" s="61"/>
      <c r="R93" s="61"/>
    </row>
    <row r="94" spans="2:20">
      <c r="B94" s="55" t="s">
        <v>72</v>
      </c>
      <c r="C94" s="55"/>
      <c r="D94" s="55"/>
      <c r="E94" s="55"/>
      <c r="F94" s="55"/>
      <c r="G94" s="55"/>
      <c r="H94" s="60"/>
      <c r="I94" s="60">
        <f t="shared" ref="I94:R94" si="44">ROUND(MAX(I$23-I38-I56-I74-I92,0),4)</f>
        <v>0</v>
      </c>
      <c r="J94" s="60">
        <f t="shared" si="44"/>
        <v>0</v>
      </c>
      <c r="K94" s="60">
        <f t="shared" si="44"/>
        <v>0</v>
      </c>
      <c r="L94" s="60">
        <f t="shared" si="44"/>
        <v>0</v>
      </c>
      <c r="M94" s="60">
        <f t="shared" si="44"/>
        <v>0</v>
      </c>
      <c r="N94" s="60">
        <f t="shared" si="44"/>
        <v>741965.05740000005</v>
      </c>
      <c r="O94" s="60">
        <f t="shared" si="44"/>
        <v>0</v>
      </c>
      <c r="P94" s="60">
        <f t="shared" si="44"/>
        <v>0</v>
      </c>
      <c r="Q94" s="60">
        <f t="shared" si="44"/>
        <v>0</v>
      </c>
      <c r="R94" s="60">
        <f t="shared" si="44"/>
        <v>0</v>
      </c>
      <c r="T94" s="39" t="s">
        <v>81</v>
      </c>
    </row>
    <row r="95" spans="2:20" ht="5.0999999999999996" customHeight="1"/>
    <row r="96" spans="2:20">
      <c r="B96" s="134" t="s">
        <v>71</v>
      </c>
      <c r="C96" s="135">
        <f>XIRR(H96:R96,$H$21:$R$21)</f>
        <v>0.1749931871891022</v>
      </c>
      <c r="D96" s="134"/>
      <c r="E96" s="134"/>
      <c r="F96" s="134"/>
      <c r="G96" s="134"/>
      <c r="H96" s="136">
        <f>-H87</f>
        <v>-10000000</v>
      </c>
      <c r="I96" s="136">
        <f t="shared" ref="I96:R96" si="45">SUM(I85:I86)</f>
        <v>500000</v>
      </c>
      <c r="J96" s="136">
        <f t="shared" si="45"/>
        <v>500000</v>
      </c>
      <c r="K96" s="136">
        <f t="shared" si="45"/>
        <v>750000</v>
      </c>
      <c r="L96" s="136">
        <f t="shared" si="45"/>
        <v>750000</v>
      </c>
      <c r="M96" s="136">
        <f t="shared" si="45"/>
        <v>1000000</v>
      </c>
      <c r="N96" s="136">
        <f t="shared" si="45"/>
        <v>20826280.215980843</v>
      </c>
      <c r="O96" s="136">
        <f t="shared" si="45"/>
        <v>0</v>
      </c>
      <c r="P96" s="136">
        <f t="shared" si="45"/>
        <v>0</v>
      </c>
      <c r="Q96" s="136">
        <f t="shared" si="45"/>
        <v>0</v>
      </c>
      <c r="R96" s="136">
        <f t="shared" si="45"/>
        <v>0</v>
      </c>
    </row>
    <row r="97" spans="2:18" ht="5.0999999999999996" customHeight="1"/>
    <row r="98" spans="2:18">
      <c r="B98" s="122" t="s">
        <v>80</v>
      </c>
      <c r="C98" s="126">
        <f>D17</f>
        <v>0.2</v>
      </c>
      <c r="D98" s="124"/>
      <c r="E98" s="124"/>
      <c r="F98" s="124"/>
      <c r="G98" s="124"/>
      <c r="H98" s="125"/>
      <c r="I98" s="125"/>
      <c r="J98" s="125"/>
      <c r="K98" s="125"/>
      <c r="L98" s="125"/>
      <c r="M98" s="125"/>
      <c r="N98" s="125"/>
      <c r="O98" s="125"/>
      <c r="P98" s="125"/>
      <c r="Q98" s="125"/>
      <c r="R98" s="125"/>
    </row>
    <row r="99" spans="2:18" ht="5.0999999999999996" customHeight="1">
      <c r="B99" s="72"/>
      <c r="C99" s="71"/>
      <c r="D99" s="70"/>
      <c r="E99" s="70"/>
      <c r="F99" s="70"/>
      <c r="G99" s="70"/>
      <c r="H99" s="69"/>
      <c r="I99" s="69"/>
      <c r="J99" s="69"/>
      <c r="K99" s="69"/>
      <c r="L99" s="69"/>
      <c r="M99" s="69"/>
      <c r="N99" s="69"/>
      <c r="O99" s="69"/>
      <c r="P99" s="69"/>
      <c r="Q99" s="69"/>
      <c r="R99" s="69"/>
    </row>
    <row r="100" spans="2:18">
      <c r="B100" s="43" t="s">
        <v>79</v>
      </c>
      <c r="C100" s="43"/>
      <c r="D100" s="43"/>
      <c r="E100" s="43"/>
      <c r="F100" s="43"/>
      <c r="G100" s="43"/>
      <c r="H100" s="53"/>
      <c r="I100" s="53">
        <f t="shared" ref="I100:R100" si="46">H105</f>
        <v>10000000</v>
      </c>
      <c r="J100" s="53">
        <f t="shared" si="46"/>
        <v>11500000</v>
      </c>
      <c r="K100" s="53">
        <f t="shared" si="46"/>
        <v>13300000</v>
      </c>
      <c r="L100" s="53">
        <f t="shared" si="46"/>
        <v>15217287.671232877</v>
      </c>
      <c r="M100" s="53">
        <f t="shared" si="46"/>
        <v>17510745.205479454</v>
      </c>
      <c r="N100" s="53">
        <f t="shared" si="46"/>
        <v>20012894.246575344</v>
      </c>
      <c r="O100" s="53">
        <f t="shared" si="46"/>
        <v>2818210.3512095711</v>
      </c>
      <c r="P100" s="53">
        <f t="shared" si="46"/>
        <v>3383396.6463014632</v>
      </c>
      <c r="Q100" s="53">
        <f t="shared" si="46"/>
        <v>4060075.9755617557</v>
      </c>
      <c r="R100" s="53">
        <f t="shared" si="46"/>
        <v>4872091.170674107</v>
      </c>
    </row>
    <row r="101" spans="2:18">
      <c r="B101" s="68" t="str">
        <f>B98&amp;" Return"</f>
        <v>Hurdle 5 Return</v>
      </c>
      <c r="C101" s="43"/>
      <c r="D101" s="43"/>
      <c r="E101" s="43"/>
      <c r="F101" s="43"/>
      <c r="G101" s="43"/>
      <c r="H101" s="53"/>
      <c r="I101" s="53">
        <f t="shared" ref="I101:R101" si="47">I100*($C98/365)*(I$21-H$21)</f>
        <v>2000000.0000000002</v>
      </c>
      <c r="J101" s="53">
        <f t="shared" si="47"/>
        <v>2300000.0000000005</v>
      </c>
      <c r="K101" s="53">
        <f t="shared" si="47"/>
        <v>2667287.6712328773</v>
      </c>
      <c r="L101" s="53">
        <f t="shared" si="47"/>
        <v>3043457.5342465756</v>
      </c>
      <c r="M101" s="53">
        <f t="shared" si="47"/>
        <v>3502149.0410958915</v>
      </c>
      <c r="N101" s="53">
        <f t="shared" si="47"/>
        <v>4002578.8493150696</v>
      </c>
      <c r="O101" s="53">
        <f t="shared" si="47"/>
        <v>565186.29509189213</v>
      </c>
      <c r="P101" s="53">
        <f t="shared" si="47"/>
        <v>676679.3292602927</v>
      </c>
      <c r="Q101" s="53">
        <f t="shared" si="47"/>
        <v>812015.19511235133</v>
      </c>
      <c r="R101" s="53">
        <f t="shared" si="47"/>
        <v>974418.23413482157</v>
      </c>
    </row>
    <row r="102" spans="2:18">
      <c r="B102" s="68" t="s">
        <v>78</v>
      </c>
      <c r="C102" s="43"/>
      <c r="D102" s="43"/>
      <c r="E102" s="43"/>
      <c r="F102" s="43"/>
      <c r="G102" s="43"/>
      <c r="H102" s="53"/>
      <c r="I102" s="53">
        <f t="shared" ref="I102:R102" si="48">-MIN(0,I$23*$H$6)</f>
        <v>0</v>
      </c>
      <c r="J102" s="53">
        <f t="shared" si="48"/>
        <v>0</v>
      </c>
      <c r="K102" s="53">
        <f t="shared" si="48"/>
        <v>0</v>
      </c>
      <c r="L102" s="53">
        <f t="shared" si="48"/>
        <v>0</v>
      </c>
      <c r="M102" s="53">
        <f t="shared" si="48"/>
        <v>0</v>
      </c>
      <c r="N102" s="53">
        <f t="shared" si="48"/>
        <v>0</v>
      </c>
      <c r="O102" s="53">
        <f t="shared" si="48"/>
        <v>0</v>
      </c>
      <c r="P102" s="53">
        <f t="shared" si="48"/>
        <v>0</v>
      </c>
      <c r="Q102" s="53">
        <f t="shared" si="48"/>
        <v>0</v>
      </c>
      <c r="R102" s="53">
        <f t="shared" si="48"/>
        <v>0</v>
      </c>
    </row>
    <row r="103" spans="2:18">
      <c r="B103" s="68" t="s">
        <v>77</v>
      </c>
      <c r="C103" s="43"/>
      <c r="D103" s="43"/>
      <c r="E103" s="43"/>
      <c r="F103" s="43"/>
      <c r="G103" s="43"/>
      <c r="H103" s="53"/>
      <c r="I103" s="53">
        <f t="shared" ref="I103:R103" si="49">+I36+I54+I72+I90</f>
        <v>500000</v>
      </c>
      <c r="J103" s="53">
        <f t="shared" si="49"/>
        <v>500000</v>
      </c>
      <c r="K103" s="53">
        <f t="shared" si="49"/>
        <v>750000</v>
      </c>
      <c r="L103" s="53">
        <f t="shared" si="49"/>
        <v>750000</v>
      </c>
      <c r="M103" s="53">
        <f t="shared" si="49"/>
        <v>1000000</v>
      </c>
      <c r="N103" s="53">
        <f t="shared" si="49"/>
        <v>20826280.215980843</v>
      </c>
      <c r="O103" s="53">
        <f t="shared" si="49"/>
        <v>0</v>
      </c>
      <c r="P103" s="53">
        <f t="shared" si="49"/>
        <v>0</v>
      </c>
      <c r="Q103" s="53">
        <f t="shared" si="49"/>
        <v>0</v>
      </c>
      <c r="R103" s="53">
        <f t="shared" si="49"/>
        <v>0</v>
      </c>
    </row>
    <row r="104" spans="2:18">
      <c r="B104" s="68" t="s">
        <v>76</v>
      </c>
      <c r="C104" s="43"/>
      <c r="D104" s="43"/>
      <c r="E104" s="43"/>
      <c r="F104" s="43"/>
      <c r="G104" s="43"/>
      <c r="H104" s="53"/>
      <c r="I104" s="53">
        <f t="shared" ref="I104:R104" si="50">MIN((I100+I101-I103),I94*$F$17)</f>
        <v>0</v>
      </c>
      <c r="J104" s="53">
        <f t="shared" si="50"/>
        <v>0</v>
      </c>
      <c r="K104" s="53">
        <f t="shared" si="50"/>
        <v>0</v>
      </c>
      <c r="L104" s="53">
        <f t="shared" si="50"/>
        <v>0</v>
      </c>
      <c r="M104" s="53">
        <f t="shared" si="50"/>
        <v>0</v>
      </c>
      <c r="N104" s="53">
        <f t="shared" si="50"/>
        <v>370982.52870000002</v>
      </c>
      <c r="O104" s="53">
        <f t="shared" si="50"/>
        <v>0</v>
      </c>
      <c r="P104" s="53">
        <f t="shared" si="50"/>
        <v>0</v>
      </c>
      <c r="Q104" s="53">
        <f t="shared" si="50"/>
        <v>0</v>
      </c>
      <c r="R104" s="53">
        <f t="shared" si="50"/>
        <v>0</v>
      </c>
    </row>
    <row r="105" spans="2:18">
      <c r="B105" s="43" t="s">
        <v>75</v>
      </c>
      <c r="C105" s="43"/>
      <c r="D105" s="43"/>
      <c r="E105" s="43"/>
      <c r="F105" s="43"/>
      <c r="G105" s="43"/>
      <c r="H105" s="53">
        <f>$F$6</f>
        <v>10000000</v>
      </c>
      <c r="I105" s="53">
        <f t="shared" ref="I105:R105" si="51">I100+I101+I102-I103-I104</f>
        <v>11500000</v>
      </c>
      <c r="J105" s="53">
        <f t="shared" si="51"/>
        <v>13300000</v>
      </c>
      <c r="K105" s="53">
        <f t="shared" si="51"/>
        <v>15217287.671232877</v>
      </c>
      <c r="L105" s="53">
        <f t="shared" si="51"/>
        <v>17510745.205479454</v>
      </c>
      <c r="M105" s="53">
        <f t="shared" si="51"/>
        <v>20012894.246575344</v>
      </c>
      <c r="N105" s="53">
        <f t="shared" si="51"/>
        <v>2818210.3512095711</v>
      </c>
      <c r="O105" s="53">
        <f t="shared" si="51"/>
        <v>3383396.6463014632</v>
      </c>
      <c r="P105" s="53">
        <f t="shared" si="51"/>
        <v>4060075.9755617557</v>
      </c>
      <c r="Q105" s="53">
        <f t="shared" si="51"/>
        <v>4872091.170674107</v>
      </c>
      <c r="R105" s="53">
        <f t="shared" si="51"/>
        <v>5846509.4048089283</v>
      </c>
    </row>
    <row r="106" spans="2:18" ht="5.0999999999999996" customHeight="1">
      <c r="B106" s="67"/>
      <c r="C106" s="67"/>
      <c r="D106" s="67"/>
      <c r="E106" s="67"/>
      <c r="F106" s="67"/>
      <c r="G106" s="67"/>
      <c r="H106" s="66"/>
      <c r="I106" s="66"/>
      <c r="J106" s="66"/>
      <c r="K106" s="66"/>
      <c r="L106" s="66"/>
      <c r="M106" s="66"/>
      <c r="N106" s="66"/>
      <c r="O106" s="66"/>
      <c r="P106" s="66"/>
      <c r="Q106" s="66"/>
      <c r="R106" s="66"/>
    </row>
    <row r="107" spans="2:18">
      <c r="B107" s="55" t="s">
        <v>65</v>
      </c>
      <c r="C107" s="65"/>
      <c r="D107" s="65"/>
      <c r="E107" s="65"/>
      <c r="F107" s="65"/>
      <c r="G107" s="65"/>
      <c r="H107" s="64"/>
      <c r="I107" s="64"/>
      <c r="J107" s="64"/>
      <c r="K107" s="64"/>
      <c r="L107" s="64"/>
      <c r="M107" s="64"/>
      <c r="N107" s="64"/>
      <c r="O107" s="64"/>
      <c r="P107" s="64"/>
      <c r="Q107" s="64"/>
      <c r="R107" s="64"/>
    </row>
    <row r="108" spans="2:18">
      <c r="B108" s="43" t="s">
        <v>74</v>
      </c>
      <c r="C108" s="43"/>
      <c r="D108" s="43"/>
      <c r="E108" s="43"/>
      <c r="F108" s="43"/>
      <c r="G108" s="43"/>
      <c r="H108" s="53"/>
      <c r="I108" s="53">
        <f t="shared" ref="I108:R108" si="52">I104</f>
        <v>0</v>
      </c>
      <c r="J108" s="53">
        <f t="shared" si="52"/>
        <v>0</v>
      </c>
      <c r="K108" s="53">
        <f t="shared" si="52"/>
        <v>0</v>
      </c>
      <c r="L108" s="53">
        <f t="shared" si="52"/>
        <v>0</v>
      </c>
      <c r="M108" s="53">
        <f t="shared" si="52"/>
        <v>0</v>
      </c>
      <c r="N108" s="53">
        <f t="shared" si="52"/>
        <v>370982.52870000002</v>
      </c>
      <c r="O108" s="53">
        <f t="shared" si="52"/>
        <v>0</v>
      </c>
      <c r="P108" s="53">
        <f t="shared" si="52"/>
        <v>0</v>
      </c>
      <c r="Q108" s="53">
        <f t="shared" si="52"/>
        <v>0</v>
      </c>
      <c r="R108" s="53">
        <f t="shared" si="52"/>
        <v>0</v>
      </c>
    </row>
    <row r="109" spans="2:18">
      <c r="B109" s="43" t="s">
        <v>46</v>
      </c>
      <c r="C109" s="43"/>
      <c r="D109" s="43"/>
      <c r="E109" s="43"/>
      <c r="F109" s="43"/>
      <c r="G109" s="43"/>
      <c r="H109" s="53"/>
      <c r="I109" s="53">
        <f t="shared" ref="I109:R109" si="53">I108/$F17*$H17</f>
        <v>0</v>
      </c>
      <c r="J109" s="53">
        <f t="shared" si="53"/>
        <v>0</v>
      </c>
      <c r="K109" s="53">
        <f t="shared" si="53"/>
        <v>0</v>
      </c>
      <c r="L109" s="53">
        <f t="shared" si="53"/>
        <v>0</v>
      </c>
      <c r="M109" s="53">
        <f t="shared" si="53"/>
        <v>0</v>
      </c>
      <c r="N109" s="53">
        <f t="shared" si="53"/>
        <v>370982.52870000002</v>
      </c>
      <c r="O109" s="53">
        <f t="shared" si="53"/>
        <v>0</v>
      </c>
      <c r="P109" s="53">
        <f t="shared" si="53"/>
        <v>0</v>
      </c>
      <c r="Q109" s="53">
        <f t="shared" si="53"/>
        <v>0</v>
      </c>
      <c r="R109" s="53">
        <f t="shared" si="53"/>
        <v>0</v>
      </c>
    </row>
    <row r="110" spans="2:18">
      <c r="B110" s="51" t="s">
        <v>73</v>
      </c>
      <c r="C110" s="51"/>
      <c r="D110" s="51"/>
      <c r="E110" s="51"/>
      <c r="F110" s="51"/>
      <c r="G110" s="51"/>
      <c r="H110" s="63"/>
      <c r="I110" s="63">
        <f t="shared" ref="I110:R110" si="54">I108+I109</f>
        <v>0</v>
      </c>
      <c r="J110" s="63">
        <f t="shared" si="54"/>
        <v>0</v>
      </c>
      <c r="K110" s="63">
        <f t="shared" si="54"/>
        <v>0</v>
      </c>
      <c r="L110" s="63">
        <f t="shared" si="54"/>
        <v>0</v>
      </c>
      <c r="M110" s="63">
        <f t="shared" si="54"/>
        <v>0</v>
      </c>
      <c r="N110" s="63">
        <f t="shared" si="54"/>
        <v>741965.05740000005</v>
      </c>
      <c r="O110" s="63">
        <f t="shared" si="54"/>
        <v>0</v>
      </c>
      <c r="P110" s="63">
        <f t="shared" si="54"/>
        <v>0</v>
      </c>
      <c r="Q110" s="63">
        <f t="shared" si="54"/>
        <v>0</v>
      </c>
      <c r="R110" s="63">
        <f t="shared" si="54"/>
        <v>0</v>
      </c>
    </row>
    <row r="111" spans="2:18" ht="5.0999999999999996" customHeight="1">
      <c r="B111" s="62"/>
      <c r="C111" s="62"/>
      <c r="D111" s="62"/>
      <c r="E111" s="62"/>
      <c r="F111" s="62"/>
      <c r="G111" s="62"/>
      <c r="H111" s="61"/>
      <c r="I111" s="61"/>
      <c r="J111" s="61"/>
      <c r="K111" s="61"/>
      <c r="L111" s="61"/>
      <c r="M111" s="61"/>
      <c r="N111" s="61"/>
      <c r="O111" s="61"/>
      <c r="P111" s="61"/>
      <c r="Q111" s="61"/>
      <c r="R111" s="61"/>
    </row>
    <row r="112" spans="2:18">
      <c r="B112" s="55" t="s">
        <v>72</v>
      </c>
      <c r="C112" s="55"/>
      <c r="D112" s="55"/>
      <c r="E112" s="55"/>
      <c r="F112" s="55"/>
      <c r="G112" s="55"/>
      <c r="H112" s="60"/>
      <c r="I112" s="59">
        <f t="shared" ref="I112:R112" si="55">ROUND(MAX(I$23-I38-I56-I74-I92-I110,0),4)</f>
        <v>0</v>
      </c>
      <c r="J112" s="59">
        <f t="shared" si="55"/>
        <v>0</v>
      </c>
      <c r="K112" s="59">
        <f t="shared" si="55"/>
        <v>0</v>
      </c>
      <c r="L112" s="59">
        <f t="shared" si="55"/>
        <v>0</v>
      </c>
      <c r="M112" s="59">
        <f t="shared" si="55"/>
        <v>0</v>
      </c>
      <c r="N112" s="59">
        <f t="shared" si="55"/>
        <v>0</v>
      </c>
      <c r="O112" s="59">
        <f t="shared" si="55"/>
        <v>0</v>
      </c>
      <c r="P112" s="59">
        <f t="shared" si="55"/>
        <v>0</v>
      </c>
      <c r="Q112" s="59">
        <f t="shared" si="55"/>
        <v>0</v>
      </c>
      <c r="R112" s="59">
        <f t="shared" si="55"/>
        <v>0</v>
      </c>
    </row>
    <row r="113" spans="2:18" ht="5.0999999999999996" customHeight="1"/>
    <row r="114" spans="2:18">
      <c r="B114" s="134" t="s">
        <v>71</v>
      </c>
      <c r="C114" s="135">
        <f>XIRR(H114:R114,$H$21:$R$21)</f>
        <v>0.17804800868034368</v>
      </c>
      <c r="D114" s="134"/>
      <c r="E114" s="134"/>
      <c r="F114" s="134"/>
      <c r="G114" s="134"/>
      <c r="H114" s="136">
        <f>-H105</f>
        <v>-10000000</v>
      </c>
      <c r="I114" s="136">
        <f t="shared" ref="I114:R114" si="56">SUM(I103:I104)</f>
        <v>500000</v>
      </c>
      <c r="J114" s="136">
        <f t="shared" si="56"/>
        <v>500000</v>
      </c>
      <c r="K114" s="136">
        <f t="shared" si="56"/>
        <v>750000</v>
      </c>
      <c r="L114" s="136">
        <f t="shared" si="56"/>
        <v>750000</v>
      </c>
      <c r="M114" s="136">
        <f t="shared" si="56"/>
        <v>1000000</v>
      </c>
      <c r="N114" s="136">
        <f t="shared" si="56"/>
        <v>21197262.744680844</v>
      </c>
      <c r="O114" s="136">
        <f t="shared" si="56"/>
        <v>0</v>
      </c>
      <c r="P114" s="136">
        <f t="shared" si="56"/>
        <v>0</v>
      </c>
      <c r="Q114" s="136">
        <f t="shared" si="56"/>
        <v>0</v>
      </c>
      <c r="R114" s="136">
        <f t="shared" si="56"/>
        <v>0</v>
      </c>
    </row>
    <row r="115" spans="2:18" ht="5.0999999999999996" customHeight="1"/>
    <row r="116" spans="2:18">
      <c r="B116" s="122" t="s">
        <v>70</v>
      </c>
      <c r="C116" s="123"/>
      <c r="D116" s="124"/>
      <c r="E116" s="124"/>
      <c r="F116" s="124"/>
      <c r="G116" s="124"/>
      <c r="H116" s="125"/>
      <c r="I116" s="125"/>
      <c r="J116" s="125"/>
      <c r="K116" s="125"/>
      <c r="L116" s="125"/>
      <c r="M116" s="125"/>
      <c r="N116" s="125"/>
      <c r="O116" s="125"/>
      <c r="P116" s="125"/>
      <c r="Q116" s="125"/>
      <c r="R116" s="125"/>
    </row>
    <row r="117" spans="2:18" ht="5.0999999999999996" customHeight="1"/>
    <row r="118" spans="2:18">
      <c r="B118" s="55" t="s">
        <v>69</v>
      </c>
      <c r="C118" s="43"/>
      <c r="D118" s="42"/>
      <c r="E118" s="43"/>
      <c r="F118" s="42"/>
      <c r="G118" s="43"/>
      <c r="H118" s="54">
        <f t="shared" ref="H118:R118" si="57">H20</f>
        <v>0</v>
      </c>
      <c r="I118" s="54">
        <f t="shared" si="57"/>
        <v>1</v>
      </c>
      <c r="J118" s="54">
        <f t="shared" si="57"/>
        <v>2</v>
      </c>
      <c r="K118" s="54">
        <f t="shared" si="57"/>
        <v>3</v>
      </c>
      <c r="L118" s="54">
        <f t="shared" si="57"/>
        <v>4</v>
      </c>
      <c r="M118" s="54">
        <f t="shared" si="57"/>
        <v>5</v>
      </c>
      <c r="N118" s="54">
        <f t="shared" si="57"/>
        <v>6</v>
      </c>
      <c r="O118" s="54">
        <f t="shared" si="57"/>
        <v>7</v>
      </c>
      <c r="P118" s="54">
        <f t="shared" si="57"/>
        <v>8</v>
      </c>
      <c r="Q118" s="54">
        <f t="shared" si="57"/>
        <v>9</v>
      </c>
      <c r="R118" s="54">
        <f t="shared" si="57"/>
        <v>10</v>
      </c>
    </row>
    <row r="119" spans="2:18" ht="5.0999999999999996" customHeight="1">
      <c r="F119" s="40"/>
      <c r="I119" s="58"/>
      <c r="J119" s="58"/>
      <c r="K119" s="58"/>
      <c r="L119" s="58"/>
      <c r="M119" s="58"/>
      <c r="N119" s="58"/>
      <c r="O119" s="58"/>
      <c r="P119" s="58"/>
      <c r="Q119" s="58"/>
      <c r="R119" s="58"/>
    </row>
    <row r="120" spans="2:18" ht="15" customHeight="1">
      <c r="B120" s="55" t="s">
        <v>68</v>
      </c>
      <c r="C120" s="43"/>
      <c r="D120" s="43"/>
      <c r="E120" s="43"/>
      <c r="F120" s="42"/>
      <c r="G120" s="43"/>
      <c r="H120" s="42"/>
      <c r="I120" s="54"/>
      <c r="J120" s="54"/>
      <c r="K120" s="54"/>
      <c r="L120" s="54"/>
      <c r="M120" s="54"/>
      <c r="N120" s="54"/>
      <c r="O120" s="54"/>
      <c r="P120" s="54"/>
      <c r="Q120" s="54"/>
      <c r="R120" s="54"/>
    </row>
    <row r="121" spans="2:18" ht="15" customHeight="1">
      <c r="B121" s="43" t="s">
        <v>66</v>
      </c>
      <c r="C121" s="43"/>
      <c r="D121" s="43"/>
      <c r="E121" s="43"/>
      <c r="F121" s="43"/>
      <c r="G121" s="43"/>
      <c r="H121" s="53">
        <f>-F6</f>
        <v>-10000000</v>
      </c>
      <c r="I121" s="53">
        <f t="shared" ref="I121:R121" si="58">-I30</f>
        <v>0</v>
      </c>
      <c r="J121" s="53">
        <f t="shared" si="58"/>
        <v>0</v>
      </c>
      <c r="K121" s="53">
        <f t="shared" si="58"/>
        <v>0</v>
      </c>
      <c r="L121" s="53">
        <f t="shared" si="58"/>
        <v>0</v>
      </c>
      <c r="M121" s="53">
        <f t="shared" si="58"/>
        <v>0</v>
      </c>
      <c r="N121" s="53">
        <f t="shared" si="58"/>
        <v>0</v>
      </c>
      <c r="O121" s="53">
        <f t="shared" si="58"/>
        <v>0</v>
      </c>
      <c r="P121" s="53">
        <f t="shared" si="58"/>
        <v>0</v>
      </c>
      <c r="Q121" s="53">
        <f t="shared" si="58"/>
        <v>0</v>
      </c>
      <c r="R121" s="53">
        <f t="shared" si="58"/>
        <v>0</v>
      </c>
    </row>
    <row r="122" spans="2:18">
      <c r="B122" s="43" t="s">
        <v>65</v>
      </c>
      <c r="C122" s="43"/>
      <c r="D122" s="43"/>
      <c r="E122" s="43"/>
      <c r="F122" s="44"/>
      <c r="G122" s="43"/>
      <c r="H122" s="42"/>
      <c r="I122" s="41">
        <f t="shared" ref="I122:R122" si="59">I36+I54+I72+I90+I108</f>
        <v>500000</v>
      </c>
      <c r="J122" s="41">
        <f t="shared" si="59"/>
        <v>500000</v>
      </c>
      <c r="K122" s="41">
        <f t="shared" si="59"/>
        <v>750000</v>
      </c>
      <c r="L122" s="41">
        <f t="shared" si="59"/>
        <v>750000</v>
      </c>
      <c r="M122" s="41">
        <f t="shared" si="59"/>
        <v>1000000</v>
      </c>
      <c r="N122" s="41">
        <f t="shared" si="59"/>
        <v>21197262.744680844</v>
      </c>
      <c r="O122" s="41">
        <f t="shared" si="59"/>
        <v>0</v>
      </c>
      <c r="P122" s="41">
        <f t="shared" si="59"/>
        <v>0</v>
      </c>
      <c r="Q122" s="41">
        <f t="shared" si="59"/>
        <v>0</v>
      </c>
      <c r="R122" s="41">
        <f t="shared" si="59"/>
        <v>0</v>
      </c>
    </row>
    <row r="123" spans="2:18">
      <c r="B123" s="51" t="s">
        <v>64</v>
      </c>
      <c r="C123" s="51"/>
      <c r="D123" s="51"/>
      <c r="E123" s="51"/>
      <c r="F123" s="52"/>
      <c r="G123" s="51"/>
      <c r="H123" s="50">
        <f t="shared" ref="H123:R123" si="60">SUM(H121:H122)</f>
        <v>-10000000</v>
      </c>
      <c r="I123" s="50">
        <f t="shared" si="60"/>
        <v>500000</v>
      </c>
      <c r="J123" s="50">
        <f t="shared" si="60"/>
        <v>500000</v>
      </c>
      <c r="K123" s="50">
        <f t="shared" si="60"/>
        <v>750000</v>
      </c>
      <c r="L123" s="50">
        <f t="shared" si="60"/>
        <v>750000</v>
      </c>
      <c r="M123" s="50">
        <f t="shared" si="60"/>
        <v>1000000</v>
      </c>
      <c r="N123" s="50">
        <f t="shared" si="60"/>
        <v>21197262.744680844</v>
      </c>
      <c r="O123" s="50">
        <f t="shared" si="60"/>
        <v>0</v>
      </c>
      <c r="P123" s="50">
        <f t="shared" si="60"/>
        <v>0</v>
      </c>
      <c r="Q123" s="50">
        <f t="shared" si="60"/>
        <v>0</v>
      </c>
      <c r="R123" s="50">
        <f t="shared" si="60"/>
        <v>0</v>
      </c>
    </row>
    <row r="124" spans="2:18" ht="5.0999999999999996" customHeight="1">
      <c r="B124" s="47"/>
      <c r="C124" s="47"/>
      <c r="D124" s="47"/>
      <c r="E124" s="47"/>
      <c r="F124" s="49"/>
      <c r="G124" s="47"/>
      <c r="H124" s="46"/>
      <c r="I124" s="46"/>
      <c r="J124" s="46"/>
      <c r="K124" s="46"/>
      <c r="L124" s="46"/>
      <c r="M124" s="46"/>
      <c r="N124" s="46"/>
      <c r="O124" s="46"/>
      <c r="P124" s="46"/>
      <c r="Q124" s="46"/>
      <c r="R124" s="46"/>
    </row>
    <row r="125" spans="2:18">
      <c r="B125" s="47" t="s">
        <v>63</v>
      </c>
      <c r="C125" s="48">
        <f>XIRR(H123:R123,H21:R21)</f>
        <v>0.17804800868034368</v>
      </c>
      <c r="D125" s="47"/>
      <c r="E125" s="47"/>
      <c r="F125" s="43"/>
      <c r="G125" s="47"/>
      <c r="H125" s="46"/>
      <c r="I125" s="46"/>
      <c r="J125" s="46"/>
      <c r="K125" s="46"/>
      <c r="L125" s="46"/>
      <c r="M125" s="46"/>
      <c r="N125" s="46"/>
      <c r="O125" s="46"/>
      <c r="P125" s="46"/>
      <c r="Q125" s="46"/>
      <c r="R125" s="46"/>
    </row>
    <row r="126" spans="2:18">
      <c r="B126" s="43" t="s">
        <v>62</v>
      </c>
      <c r="C126" s="45">
        <f>SUM(I122:R122)/-SUM(H121:R121)</f>
        <v>2.4697262744680843</v>
      </c>
      <c r="D126" s="43"/>
      <c r="E126" s="43"/>
      <c r="F126" s="44"/>
      <c r="G126" s="43"/>
      <c r="H126" s="42"/>
      <c r="I126" s="46"/>
      <c r="J126" s="41"/>
      <c r="K126" s="41"/>
      <c r="L126" s="41"/>
      <c r="M126" s="41"/>
      <c r="N126" s="41"/>
      <c r="O126" s="41"/>
      <c r="P126" s="41"/>
      <c r="Q126" s="41"/>
      <c r="R126" s="41"/>
    </row>
    <row r="127" spans="2:18" ht="5.0999999999999996" customHeight="1">
      <c r="F127" s="57"/>
      <c r="I127" s="56"/>
      <c r="J127" s="56"/>
      <c r="K127" s="56"/>
      <c r="L127" s="56"/>
      <c r="M127" s="56"/>
      <c r="N127" s="56"/>
      <c r="O127" s="56"/>
      <c r="P127" s="56"/>
      <c r="Q127" s="56"/>
      <c r="R127" s="56"/>
    </row>
    <row r="128" spans="2:18">
      <c r="B128" s="55" t="s">
        <v>67</v>
      </c>
      <c r="C128" s="43"/>
      <c r="D128" s="43"/>
      <c r="E128" s="43"/>
      <c r="F128" s="42"/>
      <c r="G128" s="43"/>
      <c r="H128" s="42"/>
      <c r="I128" s="54"/>
      <c r="J128" s="54"/>
      <c r="K128" s="54"/>
      <c r="L128" s="54"/>
      <c r="M128" s="54"/>
      <c r="N128" s="54"/>
      <c r="O128" s="54"/>
      <c r="P128" s="54"/>
      <c r="Q128" s="54"/>
      <c r="R128" s="54"/>
    </row>
    <row r="129" spans="2:18">
      <c r="B129" s="43" t="s">
        <v>66</v>
      </c>
      <c r="C129" s="43"/>
      <c r="D129" s="43"/>
      <c r="E129" s="43"/>
      <c r="F129" s="43"/>
      <c r="G129" s="43"/>
      <c r="H129" s="53">
        <f>-F5</f>
        <v>0</v>
      </c>
      <c r="I129" s="53">
        <f t="shared" ref="I129:R129" si="61">-I31</f>
        <v>0</v>
      </c>
      <c r="J129" s="53">
        <f t="shared" si="61"/>
        <v>0</v>
      </c>
      <c r="K129" s="53">
        <f t="shared" si="61"/>
        <v>0</v>
      </c>
      <c r="L129" s="53">
        <f t="shared" si="61"/>
        <v>0</v>
      </c>
      <c r="M129" s="53">
        <f t="shared" si="61"/>
        <v>0</v>
      </c>
      <c r="N129" s="53">
        <f t="shared" si="61"/>
        <v>0</v>
      </c>
      <c r="O129" s="53">
        <f t="shared" si="61"/>
        <v>0</v>
      </c>
      <c r="P129" s="53">
        <f t="shared" si="61"/>
        <v>0</v>
      </c>
      <c r="Q129" s="53">
        <f t="shared" si="61"/>
        <v>0</v>
      </c>
      <c r="R129" s="53">
        <f t="shared" si="61"/>
        <v>0</v>
      </c>
    </row>
    <row r="130" spans="2:18">
      <c r="B130" s="43" t="s">
        <v>65</v>
      </c>
      <c r="C130" s="43"/>
      <c r="D130" s="43"/>
      <c r="E130" s="43"/>
      <c r="F130" s="44"/>
      <c r="G130" s="43"/>
      <c r="H130" s="42"/>
      <c r="I130" s="41">
        <f t="shared" ref="I130:R130" si="62">I37+I55+I73+I91+I109</f>
        <v>0</v>
      </c>
      <c r="J130" s="41">
        <f t="shared" si="62"/>
        <v>0</v>
      </c>
      <c r="K130" s="41">
        <f t="shared" si="62"/>
        <v>0</v>
      </c>
      <c r="L130" s="41">
        <f t="shared" si="62"/>
        <v>0</v>
      </c>
      <c r="M130" s="41">
        <f t="shared" si="62"/>
        <v>0</v>
      </c>
      <c r="N130" s="41">
        <f t="shared" si="62"/>
        <v>3802737.2552909586</v>
      </c>
      <c r="O130" s="41">
        <f t="shared" si="62"/>
        <v>0</v>
      </c>
      <c r="P130" s="41">
        <f t="shared" si="62"/>
        <v>0</v>
      </c>
      <c r="Q130" s="41">
        <f t="shared" si="62"/>
        <v>0</v>
      </c>
      <c r="R130" s="41">
        <f t="shared" si="62"/>
        <v>0</v>
      </c>
    </row>
    <row r="131" spans="2:18">
      <c r="B131" s="51" t="s">
        <v>64</v>
      </c>
      <c r="C131" s="51"/>
      <c r="D131" s="51"/>
      <c r="E131" s="51"/>
      <c r="F131" s="52"/>
      <c r="G131" s="51"/>
      <c r="H131" s="50">
        <f t="shared" ref="H131:R131" si="63">SUM(H129:H130)</f>
        <v>0</v>
      </c>
      <c r="I131" s="50">
        <f t="shared" si="63"/>
        <v>0</v>
      </c>
      <c r="J131" s="50">
        <f t="shared" si="63"/>
        <v>0</v>
      </c>
      <c r="K131" s="50">
        <f t="shared" si="63"/>
        <v>0</v>
      </c>
      <c r="L131" s="50">
        <f t="shared" si="63"/>
        <v>0</v>
      </c>
      <c r="M131" s="50">
        <f t="shared" si="63"/>
        <v>0</v>
      </c>
      <c r="N131" s="50">
        <f t="shared" si="63"/>
        <v>3802737.2552909586</v>
      </c>
      <c r="O131" s="50">
        <f t="shared" si="63"/>
        <v>0</v>
      </c>
      <c r="P131" s="50">
        <f t="shared" si="63"/>
        <v>0</v>
      </c>
      <c r="Q131" s="50">
        <f t="shared" si="63"/>
        <v>0</v>
      </c>
      <c r="R131" s="50">
        <f t="shared" si="63"/>
        <v>0</v>
      </c>
    </row>
    <row r="132" spans="2:18" ht="5.0999999999999996" customHeight="1">
      <c r="B132" s="47"/>
      <c r="C132" s="47"/>
      <c r="D132" s="47"/>
      <c r="E132" s="47"/>
      <c r="F132" s="49"/>
      <c r="G132" s="47"/>
      <c r="H132" s="46"/>
      <c r="I132" s="46"/>
      <c r="J132" s="46"/>
      <c r="K132" s="46"/>
      <c r="L132" s="46"/>
      <c r="M132" s="46"/>
      <c r="N132" s="46"/>
      <c r="O132" s="46"/>
      <c r="P132" s="46"/>
      <c r="Q132" s="46"/>
      <c r="R132" s="46"/>
    </row>
    <row r="133" spans="2:18">
      <c r="B133" s="47" t="s">
        <v>63</v>
      </c>
      <c r="C133" s="48" t="str">
        <f>IFERROR(XIRR(H131:R131,H21:R21),"NA")</f>
        <v>NA</v>
      </c>
      <c r="D133" s="47"/>
      <c r="E133" s="47"/>
      <c r="F133" s="43"/>
      <c r="G133" s="47"/>
      <c r="H133" s="46"/>
      <c r="I133" s="46"/>
      <c r="J133" s="46"/>
      <c r="K133" s="46"/>
      <c r="L133" s="46"/>
      <c r="M133" s="46"/>
      <c r="N133" s="46"/>
      <c r="O133" s="46"/>
      <c r="P133" s="46"/>
      <c r="Q133" s="46"/>
      <c r="R133" s="46"/>
    </row>
    <row r="134" spans="2:18">
      <c r="B134" s="43" t="s">
        <v>62</v>
      </c>
      <c r="C134" s="45" t="str">
        <f>IFERROR(SUM(I130:R130)/-SUM(H129:R129),"NA")</f>
        <v>NA</v>
      </c>
      <c r="D134" s="43"/>
      <c r="E134" s="43"/>
      <c r="F134" s="44"/>
      <c r="G134" s="43"/>
      <c r="H134" s="42"/>
      <c r="I134" s="41"/>
      <c r="J134" s="41"/>
      <c r="K134" s="41"/>
      <c r="L134" s="41"/>
      <c r="M134" s="41"/>
      <c r="N134" s="41"/>
      <c r="O134" s="41"/>
      <c r="P134" s="41"/>
      <c r="Q134" s="41"/>
      <c r="R134" s="41"/>
    </row>
    <row r="135" spans="2:18" ht="5.0999999999999996" customHeight="1"/>
    <row r="136" spans="2:18">
      <c r="B136" s="134" t="s">
        <v>61</v>
      </c>
      <c r="C136" s="137"/>
      <c r="D136" s="134"/>
      <c r="E136" s="134"/>
      <c r="F136" s="134"/>
      <c r="G136" s="134"/>
      <c r="H136" s="136"/>
      <c r="I136" s="136">
        <f t="shared" ref="I136:R136" si="64">ROUND(I23-SUM(I123,I131),2)</f>
        <v>0</v>
      </c>
      <c r="J136" s="136">
        <f t="shared" si="64"/>
        <v>0</v>
      </c>
      <c r="K136" s="136">
        <f t="shared" si="64"/>
        <v>0</v>
      </c>
      <c r="L136" s="136">
        <f t="shared" si="64"/>
        <v>0</v>
      </c>
      <c r="M136" s="136">
        <f t="shared" si="64"/>
        <v>0</v>
      </c>
      <c r="N136" s="136">
        <f t="shared" si="64"/>
        <v>0</v>
      </c>
      <c r="O136" s="136">
        <f t="shared" si="64"/>
        <v>0</v>
      </c>
      <c r="P136" s="136">
        <f t="shared" si="64"/>
        <v>0</v>
      </c>
      <c r="Q136" s="136">
        <f t="shared" si="64"/>
        <v>0</v>
      </c>
      <c r="R136" s="136">
        <f t="shared" si="64"/>
        <v>0</v>
      </c>
    </row>
  </sheetData>
  <pageMargins left="0.7" right="0.7" top="0.75" bottom="0.75" header="0.3" footer="0.3"/>
  <pageSetup scale="35" orientation="portrait" horizontalDpi="4294967294" verticalDpi="0" r:id="rId1"/>
  <ignoredErrors>
    <ignoredError sqref="I28:R96 H33:H105 C26:C101 I100:R136 H114:H137 C114:C137 I20:R21 H23:H24 F5:H7 B47:B1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4F03-B6AB-483F-8C7F-C84A100C887E}">
  <dimension ref="A1:I11"/>
  <sheetViews>
    <sheetView showGridLines="0" zoomScale="75" zoomScaleNormal="75" workbookViewId="0"/>
  </sheetViews>
  <sheetFormatPr defaultRowHeight="14.25"/>
  <cols>
    <col min="1" max="1" width="1.59765625" customWidth="1"/>
    <col min="2" max="2" width="22" bestFit="1" customWidth="1"/>
    <col min="3" max="3" width="1.59765625" customWidth="1"/>
    <col min="4" max="9" width="15.59765625" customWidth="1"/>
  </cols>
  <sheetData>
    <row r="1" spans="1:9" ht="5" customHeight="1">
      <c r="A1" s="1"/>
      <c r="B1" s="1"/>
      <c r="C1" s="1"/>
      <c r="D1" s="1"/>
      <c r="E1" s="1"/>
      <c r="F1" s="1"/>
      <c r="G1" s="1"/>
      <c r="H1" s="1"/>
      <c r="I1" s="1"/>
    </row>
    <row r="2" spans="1:9" ht="17.649999999999999">
      <c r="A2" s="1"/>
      <c r="B2" s="32" t="s">
        <v>118</v>
      </c>
      <c r="C2" s="1"/>
      <c r="D2" s="1"/>
      <c r="E2" s="1"/>
      <c r="F2" s="1"/>
      <c r="G2" s="1"/>
      <c r="H2" s="1"/>
      <c r="I2" s="1"/>
    </row>
    <row r="3" spans="1:9" ht="5" customHeight="1">
      <c r="A3" s="1"/>
      <c r="B3" s="1"/>
      <c r="C3" s="1"/>
      <c r="D3" s="1"/>
      <c r="E3" s="1"/>
      <c r="F3" s="1"/>
      <c r="G3" s="1"/>
      <c r="H3" s="1"/>
      <c r="I3" s="1"/>
    </row>
    <row r="4" spans="1:9">
      <c r="A4" s="1"/>
      <c r="B4" s="20" t="s">
        <v>112</v>
      </c>
      <c r="C4" s="20"/>
      <c r="D4" s="138">
        <f>'80_20'!F7</f>
        <v>44196</v>
      </c>
      <c r="E4" s="138">
        <f>EOMONTH(D4,12)</f>
        <v>44561</v>
      </c>
      <c r="F4" s="138">
        <f t="shared" ref="F4:I4" si="0">EOMONTH(E4,12)</f>
        <v>44926</v>
      </c>
      <c r="G4" s="138">
        <f t="shared" si="0"/>
        <v>45291</v>
      </c>
      <c r="H4" s="138">
        <f t="shared" si="0"/>
        <v>45657</v>
      </c>
      <c r="I4" s="138">
        <f t="shared" si="0"/>
        <v>46022</v>
      </c>
    </row>
    <row r="5" spans="1:9" ht="5" customHeight="1"/>
    <row r="6" spans="1:9">
      <c r="B6" t="s">
        <v>113</v>
      </c>
      <c r="D6" s="139">
        <f>-'80_20'!D7</f>
        <v>10000000</v>
      </c>
      <c r="E6" s="139">
        <f>D6*(1+E7)</f>
        <v>10800000</v>
      </c>
      <c r="F6" s="139">
        <f t="shared" ref="F6:I6" si="1">E6*(1+F7)</f>
        <v>11664000</v>
      </c>
      <c r="G6" s="139">
        <f t="shared" si="1"/>
        <v>12597120</v>
      </c>
      <c r="H6" s="139">
        <f t="shared" si="1"/>
        <v>13604889.600000001</v>
      </c>
      <c r="I6" s="139">
        <f t="shared" si="1"/>
        <v>14693280.768000003</v>
      </c>
    </row>
    <row r="7" spans="1:9">
      <c r="B7" t="s">
        <v>55</v>
      </c>
      <c r="E7" s="140">
        <v>0.08</v>
      </c>
      <c r="F7" s="140">
        <v>0.08</v>
      </c>
      <c r="G7" s="140">
        <v>0.08</v>
      </c>
      <c r="H7" s="140">
        <v>0.08</v>
      </c>
      <c r="I7" s="140">
        <v>0.08</v>
      </c>
    </row>
    <row r="8" spans="1:9" ht="5" customHeight="1"/>
    <row r="9" spans="1:9">
      <c r="B9" s="141" t="s">
        <v>114</v>
      </c>
    </row>
    <row r="10" spans="1:9" ht="5" customHeight="1"/>
    <row r="11" spans="1:9">
      <c r="B11" t="s">
        <v>112</v>
      </c>
      <c r="I11" s="139">
        <f>D6*(1+I7)^YEARFRAC(D4,I4)</f>
        <v>14693280.768000003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80_20</vt:lpstr>
      <vt:lpstr>20% &amp; 80_20</vt:lpstr>
      <vt:lpstr>20% After Principal &amp; 80_20</vt:lpstr>
      <vt:lpstr>IRR Hurdles</vt:lpstr>
      <vt:lpstr>RE Waterfall</vt:lpstr>
      <vt:lpstr>Formula Explanation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cp:lastPrinted>2013-10-08T20:35:37Z</cp:lastPrinted>
  <dcterms:created xsi:type="dcterms:W3CDTF">2009-11-24T17:16:57Z</dcterms:created>
  <dcterms:modified xsi:type="dcterms:W3CDTF">2019-07-06T18:10:56Z</dcterms:modified>
</cp:coreProperties>
</file>